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heme/themeOverride1.xml" ContentType="application/vnd.openxmlformats-officedocument.themeOverrid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10755" yWindow="405" windowWidth="10800" windowHeight="9240" tabRatio="810" firstSheet="5" activeTab="15"/>
  </bookViews>
  <sheets>
    <sheet name="СПИСОК КЛАССА" sheetId="1" r:id="rId1"/>
    <sheet name="ПРОТОКОЛ" sheetId="6" state="hidden" r:id="rId2"/>
    <sheet name="Анкета учителя" sheetId="7" state="hidden" r:id="rId3"/>
    <sheet name="Ответы учащихся" sheetId="2" state="hidden" r:id="rId4"/>
    <sheet name="Результаты_Класс" sheetId="3" state="hidden" r:id="rId5"/>
    <sheet name="Д-класс" sheetId="17" r:id="rId6"/>
    <sheet name="План" sheetId="9" state="hidden" r:id="rId7"/>
    <sheet name="Уровни" sheetId="18" r:id="rId8"/>
    <sheet name="Ученик" sheetId="31" state="hidden" r:id="rId9"/>
    <sheet name="Диаграмма_Ученик" sheetId="32" r:id="rId10"/>
    <sheet name="Коридор" sheetId="25" r:id="rId11"/>
    <sheet name="Базовый_Уч" sheetId="22" r:id="rId12"/>
    <sheet name="Базовый_З" sheetId="26" r:id="rId13"/>
    <sheet name="Повыш_Уч" sheetId="30" r:id="rId14"/>
    <sheet name="Пов_З" sheetId="19" r:id="rId15"/>
    <sheet name="КИМ_1" sheetId="20" r:id="rId16"/>
    <sheet name="Лист1" sheetId="33" r:id="rId17"/>
  </sheets>
  <definedNames>
    <definedName name="Z_BFE542F4_8A0C_4C42_A5CA_C7B0ACF2717E_.wvu.Cols" localSheetId="3" hidden="1">'Ответы учащихся'!$A:$B,'Ответы учащихся'!#REF!,'Ответы учащихся'!#REF!</definedName>
    <definedName name="Z_BFE542F4_8A0C_4C42_A5CA_C7B0ACF2717E_.wvu.Cols" localSheetId="4" hidden="1">Результаты_Класс!$A:$B,Результаты_Класс!$E:$E</definedName>
    <definedName name="Z_BFE542F4_8A0C_4C42_A5CA_C7B0ACF2717E_.wvu.Cols" localSheetId="0" hidden="1">'СПИСОК КЛАССА'!$K:$L,'СПИСОК КЛАССА'!$N:$N</definedName>
    <definedName name="Z_BFE542F4_8A0C_4C42_A5CA_C7B0ACF2717E_.wvu.Cols" localSheetId="8" hidden="1">Ученик!$A:$B,Ученик!$E:$E</definedName>
    <definedName name="Z_BFE542F4_8A0C_4C42_A5CA_C7B0ACF2717E_.wvu.PrintArea" localSheetId="3" hidden="1">'Ответы учащихся'!$A$1:$AH$59</definedName>
    <definedName name="Z_BFE542F4_8A0C_4C42_A5CA_C7B0ACF2717E_.wvu.PrintArea" localSheetId="4" hidden="1">Результаты_Класс!$A$1:$AJ$59</definedName>
    <definedName name="Z_BFE542F4_8A0C_4C42_A5CA_C7B0ACF2717E_.wvu.PrintArea" localSheetId="8" hidden="1">Ученик!$A$1:$E$54</definedName>
    <definedName name="Z_BFE542F4_8A0C_4C42_A5CA_C7B0ACF2717E_.wvu.PrintTitles" localSheetId="10" hidden="1">Коридор!$5:$6</definedName>
    <definedName name="Z_BFE542F4_8A0C_4C42_A5CA_C7B0ACF2717E_.wvu.PrintTitles" localSheetId="6" hidden="1">План!$4:$5</definedName>
    <definedName name="Z_BFE542F4_8A0C_4C42_A5CA_C7B0ACF2717E_.wvu.Rows" localSheetId="2" hidden="1">'Анкета учителя'!$52:$65</definedName>
    <definedName name="Z_BFE542F4_8A0C_4C42_A5CA_C7B0ACF2717E_.wvu.Rows" localSheetId="3" hidden="1">'Ответы учащихся'!#REF!</definedName>
    <definedName name="Z_BFE542F4_8A0C_4C42_A5CA_C7B0ACF2717E_.wvu.Rows" localSheetId="1" hidden="1">ПРОТОКОЛ!$60:$68</definedName>
    <definedName name="Z_BFE542F4_8A0C_4C42_A5CA_C7B0ACF2717E_.wvu.Rows" localSheetId="4" hidden="1">Результаты_Класс!$16:$19</definedName>
    <definedName name="Z_BFE542F4_8A0C_4C42_A5CA_C7B0ACF2717E_.wvu.Rows" localSheetId="0" hidden="1">'СПИСОК КЛАССА'!$6:$6</definedName>
    <definedName name="Z_BFE542F4_8A0C_4C42_A5CA_C7B0ACF2717E_.wvu.Rows" localSheetId="8" hidden="1">Ученик!$11:$14</definedName>
    <definedName name="_xlnm.Print_Titles" localSheetId="6">План!$4:$5</definedName>
    <definedName name="_xlnm.Print_Area" localSheetId="3">'Ответы учащихся'!$A$1:$AH$59</definedName>
    <definedName name="_xlnm.Print_Area" localSheetId="4">Результаты_Класс!$A$1:$AJ$59</definedName>
  </definedNames>
  <calcPr calcId="125725"/>
  <customWorkbookViews>
    <customWorkbookView name="РЦОКО - Личное представление" guid="{BFE542F4-8A0C-4C42-A5CA-C7B0ACF2717E}" mergeInterval="0" personalView="1" maximized="1" windowWidth="1676" windowHeight="811" tabRatio="810" activeSheetId="8"/>
  </customWorkbookViews>
</workbook>
</file>

<file path=xl/calcChain.xml><?xml version="1.0" encoding="utf-8"?>
<calcChain xmlns="http://schemas.openxmlformats.org/spreadsheetml/2006/main">
  <c r="K2" i="31"/>
  <c r="E45" i="1"/>
  <c r="E46"/>
  <c r="E47"/>
  <c r="E48"/>
  <c r="E49"/>
  <c r="H4" i="31" l="1"/>
  <c r="F4"/>
  <c r="D54" l="1"/>
  <c r="C54"/>
  <c r="A54"/>
  <c r="D53"/>
  <c r="C53"/>
  <c r="A53"/>
  <c r="D52"/>
  <c r="C52"/>
  <c r="A52"/>
  <c r="D51"/>
  <c r="C51"/>
  <c r="A51"/>
  <c r="D50"/>
  <c r="C50"/>
  <c r="A50"/>
  <c r="D49"/>
  <c r="C49"/>
  <c r="A49"/>
  <c r="D48"/>
  <c r="C48"/>
  <c r="A48"/>
  <c r="D47"/>
  <c r="C47"/>
  <c r="A47"/>
  <c r="D46"/>
  <c r="C46"/>
  <c r="A46"/>
  <c r="D45"/>
  <c r="C45"/>
  <c r="A45"/>
  <c r="D44"/>
  <c r="C44"/>
  <c r="A44"/>
  <c r="C43"/>
  <c r="A43"/>
  <c r="D43" s="1"/>
  <c r="C42"/>
  <c r="A42"/>
  <c r="D42" s="1"/>
  <c r="C41"/>
  <c r="A41"/>
  <c r="D41" s="1"/>
  <c r="C40"/>
  <c r="A40"/>
  <c r="D40" s="1"/>
  <c r="C39"/>
  <c r="A39"/>
  <c r="C38"/>
  <c r="A38"/>
  <c r="C37"/>
  <c r="A37"/>
  <c r="C36"/>
  <c r="A36"/>
  <c r="C35"/>
  <c r="A35"/>
  <c r="C34"/>
  <c r="A34"/>
  <c r="C33"/>
  <c r="A33"/>
  <c r="C32"/>
  <c r="A32"/>
  <c r="C31"/>
  <c r="A31"/>
  <c r="C30"/>
  <c r="A30"/>
  <c r="C29"/>
  <c r="A29"/>
  <c r="C28"/>
  <c r="A28"/>
  <c r="C27"/>
  <c r="A27"/>
  <c r="C26"/>
  <c r="A26"/>
  <c r="C25"/>
  <c r="A25"/>
  <c r="C24"/>
  <c r="A24"/>
  <c r="C23"/>
  <c r="A23"/>
  <c r="C22"/>
  <c r="A22"/>
  <c r="C21"/>
  <c r="A21"/>
  <c r="C20"/>
  <c r="A20"/>
  <c r="C19"/>
  <c r="A19"/>
  <c r="C18"/>
  <c r="A18"/>
  <c r="C17"/>
  <c r="A17"/>
  <c r="C16"/>
  <c r="A16"/>
  <c r="C15"/>
  <c r="A15"/>
  <c r="K48" l="1"/>
  <c r="K52"/>
  <c r="K46"/>
  <c r="K50"/>
  <c r="K54"/>
  <c r="A14"/>
  <c r="K45"/>
  <c r="K47"/>
  <c r="K49"/>
  <c r="K51"/>
  <c r="K53"/>
  <c r="E45"/>
  <c r="H45"/>
  <c r="I45"/>
  <c r="F45"/>
  <c r="G45"/>
  <c r="E47"/>
  <c r="H47"/>
  <c r="F47"/>
  <c r="I47"/>
  <c r="G47"/>
  <c r="E49"/>
  <c r="H49"/>
  <c r="F49"/>
  <c r="G49"/>
  <c r="I49"/>
  <c r="E51"/>
  <c r="H51"/>
  <c r="F51"/>
  <c r="G51"/>
  <c r="I51"/>
  <c r="E53"/>
  <c r="H53"/>
  <c r="F53"/>
  <c r="G53"/>
  <c r="I53"/>
  <c r="F46"/>
  <c r="E46"/>
  <c r="H46"/>
  <c r="I46"/>
  <c r="G46"/>
  <c r="F48"/>
  <c r="E48"/>
  <c r="H48"/>
  <c r="I48"/>
  <c r="G48"/>
  <c r="F50"/>
  <c r="E50"/>
  <c r="H50"/>
  <c r="G50"/>
  <c r="I50"/>
  <c r="F52"/>
  <c r="E52"/>
  <c r="H52"/>
  <c r="G52"/>
  <c r="I52"/>
  <c r="F54"/>
  <c r="E54"/>
  <c r="H54"/>
  <c r="G54"/>
  <c r="I54"/>
  <c r="D16"/>
  <c r="D17"/>
  <c r="D18"/>
  <c r="D19"/>
  <c r="D21"/>
  <c r="D15"/>
  <c r="D20"/>
  <c r="D22"/>
  <c r="D24"/>
  <c r="D26"/>
  <c r="D28"/>
  <c r="D30"/>
  <c r="D32"/>
  <c r="D34"/>
  <c r="D23"/>
  <c r="D25"/>
  <c r="D27"/>
  <c r="D29"/>
  <c r="D31"/>
  <c r="D33"/>
  <c r="D35"/>
  <c r="D36"/>
  <c r="D38"/>
  <c r="D37"/>
  <c r="D39"/>
  <c r="A20" i="3" l="1"/>
  <c r="A20" i="2"/>
  <c r="AG25" i="3" l="1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21"/>
  <c r="AG22"/>
  <c r="AG23"/>
  <c r="AG24"/>
  <c r="AG20"/>
  <c r="A1" i="19"/>
  <c r="F2" i="30"/>
  <c r="C2"/>
  <c r="AG19" i="3" l="1"/>
  <c r="K7" i="19" s="1"/>
  <c r="J22" i="9" l="1"/>
  <c r="AL8" i="3" l="1"/>
  <c r="AL7"/>
  <c r="AL6"/>
  <c r="E21" i="1" l="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20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C20" i="3"/>
  <c r="R2" i="25"/>
  <c r="B2"/>
  <c r="A3" i="20"/>
  <c r="B4"/>
  <c r="N4"/>
  <c r="B3" i="19"/>
  <c r="N3"/>
  <c r="C2" i="22"/>
  <c r="F2"/>
  <c r="B3" i="18"/>
  <c r="I3"/>
  <c r="B2" i="17"/>
  <c r="F2"/>
  <c r="B2" i="9"/>
  <c r="I2"/>
  <c r="I2" i="3"/>
  <c r="O2"/>
  <c r="G4"/>
  <c r="K6"/>
  <c r="A21"/>
  <c r="D21" s="1"/>
  <c r="C21"/>
  <c r="E21" s="1"/>
  <c r="A22"/>
  <c r="C22"/>
  <c r="E22" s="1"/>
  <c r="A23"/>
  <c r="D23" s="1"/>
  <c r="C23"/>
  <c r="E23" s="1"/>
  <c r="A24"/>
  <c r="D24" s="1"/>
  <c r="C24"/>
  <c r="A25"/>
  <c r="D25" s="1"/>
  <c r="C25"/>
  <c r="A26"/>
  <c r="D26" s="1"/>
  <c r="C26"/>
  <c r="E26" s="1"/>
  <c r="A27"/>
  <c r="C27"/>
  <c r="E27" s="1"/>
  <c r="A28"/>
  <c r="C28"/>
  <c r="E28" s="1"/>
  <c r="A29"/>
  <c r="D29" s="1"/>
  <c r="C29"/>
  <c r="A30"/>
  <c r="D30" s="1"/>
  <c r="C30"/>
  <c r="E30" s="1"/>
  <c r="A31"/>
  <c r="D31" s="1"/>
  <c r="C31"/>
  <c r="E31" s="1"/>
  <c r="A32"/>
  <c r="D32" s="1"/>
  <c r="C32"/>
  <c r="A33"/>
  <c r="D33" s="1"/>
  <c r="C33"/>
  <c r="E33" s="1"/>
  <c r="A34"/>
  <c r="C34"/>
  <c r="E34" s="1"/>
  <c r="A35"/>
  <c r="D35" s="1"/>
  <c r="C35"/>
  <c r="A36"/>
  <c r="C36"/>
  <c r="E36" s="1"/>
  <c r="A37"/>
  <c r="D37" s="1"/>
  <c r="C37"/>
  <c r="A38"/>
  <c r="C38"/>
  <c r="E38" s="1"/>
  <c r="A39"/>
  <c r="D39" s="1"/>
  <c r="C39"/>
  <c r="A40"/>
  <c r="D40" s="1"/>
  <c r="C40"/>
  <c r="E40" s="1"/>
  <c r="AT40" s="1"/>
  <c r="A41"/>
  <c r="D41" s="1"/>
  <c r="C41"/>
  <c r="E41" s="1"/>
  <c r="A42"/>
  <c r="D42" s="1"/>
  <c r="C42"/>
  <c r="A43"/>
  <c r="D43" s="1"/>
  <c r="C43"/>
  <c r="A44"/>
  <c r="C44"/>
  <c r="E44" s="1"/>
  <c r="A45"/>
  <c r="D45" s="1"/>
  <c r="C45"/>
  <c r="A46"/>
  <c r="D46" s="1"/>
  <c r="C46"/>
  <c r="E46" s="1"/>
  <c r="A47"/>
  <c r="D47" s="1"/>
  <c r="C47"/>
  <c r="E47" s="1"/>
  <c r="A48"/>
  <c r="D48" s="1"/>
  <c r="C48"/>
  <c r="E48" s="1"/>
  <c r="A49"/>
  <c r="AU49" s="1"/>
  <c r="C49"/>
  <c r="D49"/>
  <c r="A50"/>
  <c r="AV50" s="1"/>
  <c r="C50"/>
  <c r="E50" s="1"/>
  <c r="D50"/>
  <c r="A51"/>
  <c r="AX51" s="1"/>
  <c r="C51"/>
  <c r="D51"/>
  <c r="A52"/>
  <c r="AU52" s="1"/>
  <c r="C52"/>
  <c r="E52" s="1"/>
  <c r="D52"/>
  <c r="A53"/>
  <c r="AV53" s="1"/>
  <c r="C53"/>
  <c r="D53"/>
  <c r="A54"/>
  <c r="AY54" s="1"/>
  <c r="C54"/>
  <c r="E54" s="1"/>
  <c r="D54"/>
  <c r="A55"/>
  <c r="AX55" s="1"/>
  <c r="C55"/>
  <c r="E55" s="1"/>
  <c r="D55"/>
  <c r="A56"/>
  <c r="AV56" s="1"/>
  <c r="C56"/>
  <c r="D56"/>
  <c r="A57"/>
  <c r="AU57" s="1"/>
  <c r="C57"/>
  <c r="D57"/>
  <c r="A58"/>
  <c r="AY58" s="1"/>
  <c r="C58"/>
  <c r="D58"/>
  <c r="A59"/>
  <c r="AW59" s="1"/>
  <c r="C59"/>
  <c r="E59" s="1"/>
  <c r="D59"/>
  <c r="H2" i="2"/>
  <c r="N2"/>
  <c r="L2" i="32" s="1"/>
  <c r="G4" i="2"/>
  <c r="E6"/>
  <c r="E7"/>
  <c r="D20"/>
  <c r="C20"/>
  <c r="A21"/>
  <c r="D21" s="1"/>
  <c r="C21"/>
  <c r="A22"/>
  <c r="D22" s="1"/>
  <c r="C22"/>
  <c r="A23"/>
  <c r="D23" s="1"/>
  <c r="C23"/>
  <c r="A24"/>
  <c r="D24" s="1"/>
  <c r="C24"/>
  <c r="A25"/>
  <c r="D25" s="1"/>
  <c r="C25"/>
  <c r="A26"/>
  <c r="D26" s="1"/>
  <c r="C26"/>
  <c r="A27"/>
  <c r="D27" s="1"/>
  <c r="C27"/>
  <c r="A28"/>
  <c r="D28" s="1"/>
  <c r="C28"/>
  <c r="A29"/>
  <c r="D29" s="1"/>
  <c r="C29"/>
  <c r="A30"/>
  <c r="D30" s="1"/>
  <c r="C30"/>
  <c r="A31"/>
  <c r="D31" s="1"/>
  <c r="C31"/>
  <c r="A32"/>
  <c r="D32" s="1"/>
  <c r="C32"/>
  <c r="A33"/>
  <c r="D33" s="1"/>
  <c r="C33"/>
  <c r="A34"/>
  <c r="D34" s="1"/>
  <c r="C34"/>
  <c r="A35"/>
  <c r="D35" s="1"/>
  <c r="C35"/>
  <c r="A36"/>
  <c r="D36" s="1"/>
  <c r="C36"/>
  <c r="A37"/>
  <c r="D37" s="1"/>
  <c r="C37"/>
  <c r="A38"/>
  <c r="D38" s="1"/>
  <c r="C38"/>
  <c r="A39"/>
  <c r="D39" s="1"/>
  <c r="C39"/>
  <c r="A40"/>
  <c r="D40" s="1"/>
  <c r="C40"/>
  <c r="A41"/>
  <c r="D41" s="1"/>
  <c r="C41"/>
  <c r="A42"/>
  <c r="D42" s="1"/>
  <c r="C42"/>
  <c r="A43"/>
  <c r="D43" s="1"/>
  <c r="C43"/>
  <c r="A44"/>
  <c r="D44" s="1"/>
  <c r="C44"/>
  <c r="A45"/>
  <c r="D45" s="1"/>
  <c r="C45"/>
  <c r="A46"/>
  <c r="D46" s="1"/>
  <c r="C46"/>
  <c r="A47"/>
  <c r="D47" s="1"/>
  <c r="C47"/>
  <c r="A48"/>
  <c r="D48" s="1"/>
  <c r="C48"/>
  <c r="A49"/>
  <c r="C49"/>
  <c r="D49"/>
  <c r="A50"/>
  <c r="C50"/>
  <c r="D50"/>
  <c r="A51"/>
  <c r="C51"/>
  <c r="D51"/>
  <c r="A52"/>
  <c r="C52"/>
  <c r="D52"/>
  <c r="A53"/>
  <c r="C53"/>
  <c r="D53"/>
  <c r="A54"/>
  <c r="C54"/>
  <c r="D54"/>
  <c r="A55"/>
  <c r="C55"/>
  <c r="D55"/>
  <c r="A56"/>
  <c r="C56"/>
  <c r="D56"/>
  <c r="A57"/>
  <c r="C57"/>
  <c r="D57"/>
  <c r="A58"/>
  <c r="C58"/>
  <c r="D58"/>
  <c r="A59"/>
  <c r="C59"/>
  <c r="D59"/>
  <c r="E2" i="7"/>
  <c r="H2"/>
  <c r="B7"/>
  <c r="B1" i="6"/>
  <c r="E1"/>
  <c r="H1"/>
  <c r="E50" i="1"/>
  <c r="E51"/>
  <c r="E52"/>
  <c r="E53"/>
  <c r="E54"/>
  <c r="E55"/>
  <c r="E56"/>
  <c r="E57"/>
  <c r="E58"/>
  <c r="E59"/>
  <c r="D22" i="3"/>
  <c r="AW53"/>
  <c r="AW55"/>
  <c r="AU56"/>
  <c r="AY56"/>
  <c r="AX57"/>
  <c r="AT56"/>
  <c r="AU58"/>
  <c r="AT53"/>
  <c r="D20"/>
  <c r="AT58"/>
  <c r="D27"/>
  <c r="AW54"/>
  <c r="AT51"/>
  <c r="AY51"/>
  <c r="AU59"/>
  <c r="E58"/>
  <c r="BA58" s="1"/>
  <c r="E53"/>
  <c r="BE53" s="1"/>
  <c r="AV52"/>
  <c r="AW52"/>
  <c r="E49"/>
  <c r="BD49" s="1"/>
  <c r="AT55"/>
  <c r="D34"/>
  <c r="D28"/>
  <c r="AW56"/>
  <c r="AY55"/>
  <c r="AV55"/>
  <c r="E37"/>
  <c r="BE37" s="1"/>
  <c r="AX59"/>
  <c r="BA59" l="1"/>
  <c r="BC59"/>
  <c r="BD59"/>
  <c r="BC28"/>
  <c r="BA28"/>
  <c r="BA54"/>
  <c r="BB54"/>
  <c r="BB58"/>
  <c r="BD58"/>
  <c r="AW40"/>
  <c r="AW41"/>
  <c r="BE58"/>
  <c r="AX50"/>
  <c r="AX53"/>
  <c r="AT54"/>
  <c r="AU53"/>
  <c r="AT57"/>
  <c r="BD53"/>
  <c r="AV57"/>
  <c r="AW58"/>
  <c r="AY53"/>
  <c r="AH56"/>
  <c r="AT36"/>
  <c r="BB55"/>
  <c r="BC55"/>
  <c r="BD55"/>
  <c r="BA55"/>
  <c r="BE55"/>
  <c r="BC44"/>
  <c r="BD44"/>
  <c r="BA38"/>
  <c r="BE38"/>
  <c r="BD38"/>
  <c r="AY38"/>
  <c r="BC38"/>
  <c r="BC30"/>
  <c r="BD30"/>
  <c r="AU30"/>
  <c r="BC50"/>
  <c r="BA50"/>
  <c r="BB50"/>
  <c r="BD47"/>
  <c r="BB47"/>
  <c r="BA52"/>
  <c r="BD52"/>
  <c r="AT38"/>
  <c r="AW38"/>
  <c r="AU38"/>
  <c r="AU36"/>
  <c r="AV40"/>
  <c r="AX38"/>
  <c r="AU54"/>
  <c r="AV59"/>
  <c r="D38"/>
  <c r="N38" s="1"/>
  <c r="AV58"/>
  <c r="AX58"/>
  <c r="AT59"/>
  <c r="BB59"/>
  <c r="AU40"/>
  <c r="AV38"/>
  <c r="AH54"/>
  <c r="AH59"/>
  <c r="AW49"/>
  <c r="BA53"/>
  <c r="BE54"/>
  <c r="AV54"/>
  <c r="AY59"/>
  <c r="AX52"/>
  <c r="BC49"/>
  <c r="AZ59"/>
  <c r="AZ54"/>
  <c r="AV36"/>
  <c r="AX54"/>
  <c r="AT52"/>
  <c r="BC54"/>
  <c r="BE59"/>
  <c r="AX40"/>
  <c r="AY40"/>
  <c r="AH53"/>
  <c r="BE49"/>
  <c r="BD54"/>
  <c r="AY52"/>
  <c r="AX56"/>
  <c r="AX41"/>
  <c r="BE48"/>
  <c r="BB48"/>
  <c r="AZ48"/>
  <c r="BC48"/>
  <c r="AU48"/>
  <c r="BD48"/>
  <c r="AT48"/>
  <c r="BA48"/>
  <c r="AX48"/>
  <c r="BC46"/>
  <c r="AU46"/>
  <c r="BA46"/>
  <c r="AT46"/>
  <c r="AZ46"/>
  <c r="AY46"/>
  <c r="BB46"/>
  <c r="AX46"/>
  <c r="AV46"/>
  <c r="BA33"/>
  <c r="AW33"/>
  <c r="AT33"/>
  <c r="AZ27"/>
  <c r="AX27"/>
  <c r="BB27"/>
  <c r="AT27"/>
  <c r="AL51"/>
  <c r="H51"/>
  <c r="L51"/>
  <c r="P51"/>
  <c r="T51"/>
  <c r="X51"/>
  <c r="AB51"/>
  <c r="AI51"/>
  <c r="AM51"/>
  <c r="I51"/>
  <c r="M51"/>
  <c r="Q51"/>
  <c r="U51"/>
  <c r="Y51"/>
  <c r="AJ51"/>
  <c r="J51"/>
  <c r="R51"/>
  <c r="Z51"/>
  <c r="AK51"/>
  <c r="K51"/>
  <c r="S51"/>
  <c r="AA51"/>
  <c r="AN51"/>
  <c r="F51"/>
  <c r="N51"/>
  <c r="V51"/>
  <c r="AO51"/>
  <c r="G51"/>
  <c r="O51"/>
  <c r="W51"/>
  <c r="AH55"/>
  <c r="BC47"/>
  <c r="AU50"/>
  <c r="AJ57"/>
  <c r="AN57"/>
  <c r="F57"/>
  <c r="J57"/>
  <c r="N57"/>
  <c r="R57"/>
  <c r="V57"/>
  <c r="Z57"/>
  <c r="AK57"/>
  <c r="AO57"/>
  <c r="I57"/>
  <c r="O57"/>
  <c r="T57"/>
  <c r="Y57"/>
  <c r="AI57"/>
  <c r="K57"/>
  <c r="P57"/>
  <c r="U57"/>
  <c r="AA57"/>
  <c r="AL57"/>
  <c r="G57"/>
  <c r="L57"/>
  <c r="Q57"/>
  <c r="W57"/>
  <c r="AB57"/>
  <c r="AM57"/>
  <c r="M57"/>
  <c r="S57"/>
  <c r="X57"/>
  <c r="H57"/>
  <c r="AT30"/>
  <c r="AZ49"/>
  <c r="BE52"/>
  <c r="AT50"/>
  <c r="AI52"/>
  <c r="AM52"/>
  <c r="I52"/>
  <c r="M52"/>
  <c r="Q52"/>
  <c r="U52"/>
  <c r="Y52"/>
  <c r="AJ52"/>
  <c r="AN52"/>
  <c r="F52"/>
  <c r="J52"/>
  <c r="N52"/>
  <c r="R52"/>
  <c r="V52"/>
  <c r="Z52"/>
  <c r="AK52"/>
  <c r="K52"/>
  <c r="S52"/>
  <c r="AA52"/>
  <c r="AL52"/>
  <c r="L52"/>
  <c r="T52"/>
  <c r="AB52"/>
  <c r="AO52"/>
  <c r="G52"/>
  <c r="O52"/>
  <c r="W52"/>
  <c r="H52"/>
  <c r="P52"/>
  <c r="X52"/>
  <c r="AV51"/>
  <c r="BE47"/>
  <c r="BA30"/>
  <c r="AV48"/>
  <c r="AH51"/>
  <c r="AH57"/>
  <c r="AY57"/>
  <c r="BB53"/>
  <c r="BC53"/>
  <c r="BA49"/>
  <c r="BC58"/>
  <c r="AZ47"/>
  <c r="BE50"/>
  <c r="BD50"/>
  <c r="BB52"/>
  <c r="BC52"/>
  <c r="AY50"/>
  <c r="AZ55"/>
  <c r="AU51"/>
  <c r="AW51"/>
  <c r="AU55"/>
  <c r="AZ52"/>
  <c r="AL59"/>
  <c r="H59"/>
  <c r="L59"/>
  <c r="P59"/>
  <c r="T59"/>
  <c r="X59"/>
  <c r="AB59"/>
  <c r="AI59"/>
  <c r="AM59"/>
  <c r="AJ59"/>
  <c r="F59"/>
  <c r="K59"/>
  <c r="Q59"/>
  <c r="V59"/>
  <c r="AA59"/>
  <c r="AK59"/>
  <c r="G59"/>
  <c r="M59"/>
  <c r="R59"/>
  <c r="W59"/>
  <c r="AN59"/>
  <c r="I59"/>
  <c r="N59"/>
  <c r="S59"/>
  <c r="Y59"/>
  <c r="AO59"/>
  <c r="J59"/>
  <c r="O59"/>
  <c r="U59"/>
  <c r="Z59"/>
  <c r="AK54"/>
  <c r="AO54"/>
  <c r="G54"/>
  <c r="K54"/>
  <c r="O54"/>
  <c r="S54"/>
  <c r="W54"/>
  <c r="AA54"/>
  <c r="H54"/>
  <c r="P54"/>
  <c r="AL54"/>
  <c r="L54"/>
  <c r="AM54"/>
  <c r="M54"/>
  <c r="T54"/>
  <c r="Y54"/>
  <c r="AN54"/>
  <c r="F54"/>
  <c r="N54"/>
  <c r="U54"/>
  <c r="Z54"/>
  <c r="AI54"/>
  <c r="I54"/>
  <c r="Q54"/>
  <c r="V54"/>
  <c r="AB54"/>
  <c r="AJ54"/>
  <c r="J54"/>
  <c r="R54"/>
  <c r="X54"/>
  <c r="AI49"/>
  <c r="AJ49"/>
  <c r="AN49"/>
  <c r="F49"/>
  <c r="J49"/>
  <c r="N49"/>
  <c r="R49"/>
  <c r="V49"/>
  <c r="Z49"/>
  <c r="AK49"/>
  <c r="AO49"/>
  <c r="G49"/>
  <c r="K49"/>
  <c r="O49"/>
  <c r="S49"/>
  <c r="W49"/>
  <c r="AA49"/>
  <c r="AL49"/>
  <c r="H49"/>
  <c r="P49"/>
  <c r="X49"/>
  <c r="I49"/>
  <c r="Q49"/>
  <c r="Y49"/>
  <c r="L49"/>
  <c r="T49"/>
  <c r="AB49"/>
  <c r="AM49"/>
  <c r="M49"/>
  <c r="U49"/>
  <c r="AK58"/>
  <c r="AO58"/>
  <c r="G58"/>
  <c r="K58"/>
  <c r="O58"/>
  <c r="S58"/>
  <c r="W58"/>
  <c r="AA58"/>
  <c r="AL58"/>
  <c r="AI58"/>
  <c r="H58"/>
  <c r="M58"/>
  <c r="R58"/>
  <c r="X58"/>
  <c r="AJ58"/>
  <c r="I58"/>
  <c r="N58"/>
  <c r="T58"/>
  <c r="Y58"/>
  <c r="AM58"/>
  <c r="J58"/>
  <c r="P58"/>
  <c r="U58"/>
  <c r="Z58"/>
  <c r="AN58"/>
  <c r="L58"/>
  <c r="Q58"/>
  <c r="V58"/>
  <c r="F58"/>
  <c r="AB58"/>
  <c r="AJ53"/>
  <c r="AN53"/>
  <c r="F53"/>
  <c r="J53"/>
  <c r="N53"/>
  <c r="R53"/>
  <c r="V53"/>
  <c r="Z53"/>
  <c r="AK53"/>
  <c r="AO53"/>
  <c r="G53"/>
  <c r="K53"/>
  <c r="O53"/>
  <c r="S53"/>
  <c r="W53"/>
  <c r="AA53"/>
  <c r="AL53"/>
  <c r="L53"/>
  <c r="T53"/>
  <c r="AB53"/>
  <c r="AM53"/>
  <c r="M53"/>
  <c r="U53"/>
  <c r="H53"/>
  <c r="P53"/>
  <c r="X53"/>
  <c r="AI53"/>
  <c r="I53"/>
  <c r="Q53"/>
  <c r="Y53"/>
  <c r="AW47"/>
  <c r="AX47"/>
  <c r="AZ58"/>
  <c r="AW48"/>
  <c r="AY48"/>
  <c r="BB37"/>
  <c r="AH52"/>
  <c r="AH50"/>
  <c r="AH58"/>
  <c r="AZ53"/>
  <c r="BB49"/>
  <c r="BA47"/>
  <c r="AZ50"/>
  <c r="E51"/>
  <c r="AW50"/>
  <c r="E57"/>
  <c r="E56"/>
  <c r="BE56" s="1"/>
  <c r="AI56"/>
  <c r="AM56"/>
  <c r="I56"/>
  <c r="M56"/>
  <c r="Q56"/>
  <c r="U56"/>
  <c r="Y56"/>
  <c r="AJ56"/>
  <c r="AN56"/>
  <c r="AO56"/>
  <c r="F56"/>
  <c r="K56"/>
  <c r="P56"/>
  <c r="V56"/>
  <c r="AA56"/>
  <c r="G56"/>
  <c r="L56"/>
  <c r="R56"/>
  <c r="W56"/>
  <c r="AB56"/>
  <c r="AK56"/>
  <c r="H56"/>
  <c r="N56"/>
  <c r="S56"/>
  <c r="X56"/>
  <c r="AL56"/>
  <c r="O56"/>
  <c r="T56"/>
  <c r="Z56"/>
  <c r="J56"/>
  <c r="AL55"/>
  <c r="H55"/>
  <c r="L55"/>
  <c r="P55"/>
  <c r="T55"/>
  <c r="X55"/>
  <c r="AB55"/>
  <c r="AI55"/>
  <c r="AM55"/>
  <c r="AN55"/>
  <c r="G55"/>
  <c r="M55"/>
  <c r="R55"/>
  <c r="W55"/>
  <c r="AO55"/>
  <c r="I55"/>
  <c r="N55"/>
  <c r="S55"/>
  <c r="Y55"/>
  <c r="AJ55"/>
  <c r="J55"/>
  <c r="O55"/>
  <c r="U55"/>
  <c r="Z55"/>
  <c r="AK55"/>
  <c r="Q55"/>
  <c r="V55"/>
  <c r="F55"/>
  <c r="AA55"/>
  <c r="K55"/>
  <c r="AK50"/>
  <c r="AO50"/>
  <c r="G50"/>
  <c r="K50"/>
  <c r="O50"/>
  <c r="S50"/>
  <c r="W50"/>
  <c r="AA50"/>
  <c r="AL50"/>
  <c r="H50"/>
  <c r="L50"/>
  <c r="P50"/>
  <c r="T50"/>
  <c r="X50"/>
  <c r="AB50"/>
  <c r="AI50"/>
  <c r="I50"/>
  <c r="Q50"/>
  <c r="Y50"/>
  <c r="AJ50"/>
  <c r="J50"/>
  <c r="R50"/>
  <c r="Z50"/>
  <c r="AM50"/>
  <c r="M50"/>
  <c r="U50"/>
  <c r="AN50"/>
  <c r="F50"/>
  <c r="N50"/>
  <c r="V50"/>
  <c r="AW44"/>
  <c r="AU44"/>
  <c r="D44"/>
  <c r="M44" s="1"/>
  <c r="AU41"/>
  <c r="AW37"/>
  <c r="AW36"/>
  <c r="D36"/>
  <c r="H36" s="1"/>
  <c r="AY30"/>
  <c r="AV28"/>
  <c r="A19"/>
  <c r="BE46"/>
  <c r="AZ41"/>
  <c r="BC41"/>
  <c r="BB41"/>
  <c r="BD41"/>
  <c r="BA41"/>
  <c r="BE41"/>
  <c r="AZ37"/>
  <c r="BB36"/>
  <c r="BA36"/>
  <c r="BD36"/>
  <c r="BE36"/>
  <c r="AZ36"/>
  <c r="BC36"/>
  <c r="BE33"/>
  <c r="BD33"/>
  <c r="AB20"/>
  <c r="E20"/>
  <c r="V20" s="1"/>
  <c r="G48"/>
  <c r="I48"/>
  <c r="K48"/>
  <c r="M48"/>
  <c r="O48"/>
  <c r="Q48"/>
  <c r="S48"/>
  <c r="U48"/>
  <c r="W48"/>
  <c r="Y48"/>
  <c r="AA48"/>
  <c r="F48"/>
  <c r="H48"/>
  <c r="J48"/>
  <c r="L48"/>
  <c r="N48"/>
  <c r="P48"/>
  <c r="R48"/>
  <c r="T48"/>
  <c r="V48"/>
  <c r="X48"/>
  <c r="Z48"/>
  <c r="AB48"/>
  <c r="F47"/>
  <c r="H47"/>
  <c r="J47"/>
  <c r="L47"/>
  <c r="N47"/>
  <c r="P47"/>
  <c r="R47"/>
  <c r="T47"/>
  <c r="V47"/>
  <c r="X47"/>
  <c r="Z47"/>
  <c r="AB47"/>
  <c r="G47"/>
  <c r="I47"/>
  <c r="K47"/>
  <c r="M47"/>
  <c r="O47"/>
  <c r="Q47"/>
  <c r="S47"/>
  <c r="U47"/>
  <c r="W47"/>
  <c r="Y47"/>
  <c r="AA47"/>
  <c r="G46"/>
  <c r="I46"/>
  <c r="K46"/>
  <c r="M46"/>
  <c r="O46"/>
  <c r="Q46"/>
  <c r="S46"/>
  <c r="U46"/>
  <c r="W46"/>
  <c r="Y46"/>
  <c r="AA46"/>
  <c r="F46"/>
  <c r="H46"/>
  <c r="J46"/>
  <c r="L46"/>
  <c r="N46"/>
  <c r="P46"/>
  <c r="R46"/>
  <c r="T46"/>
  <c r="V46"/>
  <c r="X46"/>
  <c r="Z46"/>
  <c r="AB46"/>
  <c r="AY36"/>
  <c r="AX36"/>
  <c r="S45"/>
  <c r="AB45"/>
  <c r="AV30"/>
  <c r="AX30"/>
  <c r="AZ38"/>
  <c r="BB38"/>
  <c r="BE28"/>
  <c r="AT41"/>
  <c r="AV41"/>
  <c r="AW30"/>
  <c r="AY41"/>
  <c r="AV34"/>
  <c r="AT34"/>
  <c r="AU34"/>
  <c r="AW34"/>
  <c r="BB34"/>
  <c r="BD34"/>
  <c r="AZ34"/>
  <c r="BE34"/>
  <c r="BA34"/>
  <c r="AX34"/>
  <c r="BC34"/>
  <c r="AY34"/>
  <c r="AU26"/>
  <c r="AW26"/>
  <c r="AT26"/>
  <c r="BA26"/>
  <c r="BE26"/>
  <c r="AZ26"/>
  <c r="BC26"/>
  <c r="AY26"/>
  <c r="BD26"/>
  <c r="AV26"/>
  <c r="BB26"/>
  <c r="AX26"/>
  <c r="AZ40"/>
  <c r="BD40"/>
  <c r="BC40"/>
  <c r="BE40"/>
  <c r="BB40"/>
  <c r="BA40"/>
  <c r="AX31"/>
  <c r="AY31"/>
  <c r="BB31"/>
  <c r="BD31"/>
  <c r="BE31"/>
  <c r="AT31"/>
  <c r="AW31"/>
  <c r="AZ31"/>
  <c r="AV31"/>
  <c r="AU31"/>
  <c r="BC31"/>
  <c r="BA31"/>
  <c r="AY21"/>
  <c r="AV21"/>
  <c r="BB21"/>
  <c r="BD21"/>
  <c r="AT21"/>
  <c r="AW21"/>
  <c r="BE21"/>
  <c r="BA21"/>
  <c r="AX21"/>
  <c r="BC21"/>
  <c r="AU21"/>
  <c r="AZ21"/>
  <c r="K42"/>
  <c r="AB42"/>
  <c r="L42"/>
  <c r="I37"/>
  <c r="M37"/>
  <c r="Q37"/>
  <c r="U37"/>
  <c r="Y37"/>
  <c r="F37"/>
  <c r="J37"/>
  <c r="N37"/>
  <c r="R37"/>
  <c r="V37"/>
  <c r="Z37"/>
  <c r="G37"/>
  <c r="O37"/>
  <c r="W37"/>
  <c r="L37"/>
  <c r="AB37"/>
  <c r="H37"/>
  <c r="P37"/>
  <c r="X37"/>
  <c r="K37"/>
  <c r="S37"/>
  <c r="AA37"/>
  <c r="T37"/>
  <c r="I32"/>
  <c r="AA32"/>
  <c r="AB32"/>
  <c r="Z32"/>
  <c r="H29"/>
  <c r="AB29"/>
  <c r="G27"/>
  <c r="K27"/>
  <c r="O27"/>
  <c r="S27"/>
  <c r="W27"/>
  <c r="AA27"/>
  <c r="H27"/>
  <c r="L27"/>
  <c r="P27"/>
  <c r="T27"/>
  <c r="X27"/>
  <c r="AB27"/>
  <c r="F27"/>
  <c r="N27"/>
  <c r="V27"/>
  <c r="I27"/>
  <c r="Q27"/>
  <c r="Y27"/>
  <c r="J27"/>
  <c r="Z27"/>
  <c r="M27"/>
  <c r="R27"/>
  <c r="U27"/>
  <c r="AB24"/>
  <c r="V24"/>
  <c r="F22"/>
  <c r="J22"/>
  <c r="N22"/>
  <c r="R22"/>
  <c r="V22"/>
  <c r="Z22"/>
  <c r="G22"/>
  <c r="K22"/>
  <c r="O22"/>
  <c r="S22"/>
  <c r="W22"/>
  <c r="AA22"/>
  <c r="I22"/>
  <c r="Q22"/>
  <c r="Y22"/>
  <c r="L22"/>
  <c r="T22"/>
  <c r="AB22"/>
  <c r="M22"/>
  <c r="U22"/>
  <c r="H22"/>
  <c r="P22"/>
  <c r="X22"/>
  <c r="AU37"/>
  <c r="BD27"/>
  <c r="BC27"/>
  <c r="AY44"/>
  <c r="AU28"/>
  <c r="AB35"/>
  <c r="BB33"/>
  <c r="AV33"/>
  <c r="AZ30"/>
  <c r="BE30"/>
  <c r="AX37"/>
  <c r="BD37"/>
  <c r="AY37"/>
  <c r="AV27"/>
  <c r="BA27"/>
  <c r="AY27"/>
  <c r="BB44"/>
  <c r="AV44"/>
  <c r="AT44"/>
  <c r="BB28"/>
  <c r="AX28"/>
  <c r="AW28"/>
  <c r="AX33"/>
  <c r="BC33"/>
  <c r="E43"/>
  <c r="L43" s="1"/>
  <c r="AB43"/>
  <c r="F43"/>
  <c r="M43"/>
  <c r="U43"/>
  <c r="F38"/>
  <c r="V38"/>
  <c r="Z38"/>
  <c r="S38"/>
  <c r="AA38"/>
  <c r="U38"/>
  <c r="I38"/>
  <c r="T38"/>
  <c r="AB38"/>
  <c r="T36"/>
  <c r="R36"/>
  <c r="F33"/>
  <c r="AI33" s="1"/>
  <c r="AJ33" s="1"/>
  <c r="E28" i="31" s="1"/>
  <c r="J33" i="3"/>
  <c r="N33"/>
  <c r="R33"/>
  <c r="V33"/>
  <c r="Z33"/>
  <c r="I33"/>
  <c r="O33"/>
  <c r="T33"/>
  <c r="Y33"/>
  <c r="K33"/>
  <c r="P33"/>
  <c r="U33"/>
  <c r="AA33"/>
  <c r="G33"/>
  <c r="Q33"/>
  <c r="AB33"/>
  <c r="X33"/>
  <c r="H33"/>
  <c r="S33"/>
  <c r="L33"/>
  <c r="W33"/>
  <c r="M33"/>
  <c r="H28"/>
  <c r="AI28" s="1"/>
  <c r="AJ28" s="1"/>
  <c r="E23" i="31" s="1"/>
  <c r="L28" i="3"/>
  <c r="P28"/>
  <c r="T28"/>
  <c r="X28"/>
  <c r="AB28"/>
  <c r="I28"/>
  <c r="M28"/>
  <c r="Q28"/>
  <c r="U28"/>
  <c r="Y28"/>
  <c r="G28"/>
  <c r="O28"/>
  <c r="W28"/>
  <c r="J28"/>
  <c r="R28"/>
  <c r="Z28"/>
  <c r="S28"/>
  <c r="F28"/>
  <c r="V28"/>
  <c r="K28"/>
  <c r="AA28"/>
  <c r="N28"/>
  <c r="E25"/>
  <c r="AZ25" s="1"/>
  <c r="Z25"/>
  <c r="AB25"/>
  <c r="K25"/>
  <c r="G23"/>
  <c r="K23"/>
  <c r="O23"/>
  <c r="S23"/>
  <c r="W23"/>
  <c r="AA23"/>
  <c r="H23"/>
  <c r="L23"/>
  <c r="P23"/>
  <c r="T23"/>
  <c r="X23"/>
  <c r="AB23"/>
  <c r="J23"/>
  <c r="R23"/>
  <c r="Z23"/>
  <c r="M23"/>
  <c r="U23"/>
  <c r="F23"/>
  <c r="N23"/>
  <c r="V23"/>
  <c r="Q23"/>
  <c r="Y23"/>
  <c r="I23"/>
  <c r="AB39"/>
  <c r="G34"/>
  <c r="K34"/>
  <c r="O34"/>
  <c r="S34"/>
  <c r="W34"/>
  <c r="AA34"/>
  <c r="H34"/>
  <c r="M34"/>
  <c r="R34"/>
  <c r="X34"/>
  <c r="I34"/>
  <c r="N34"/>
  <c r="T34"/>
  <c r="Y34"/>
  <c r="P34"/>
  <c r="Z34"/>
  <c r="V34"/>
  <c r="F34"/>
  <c r="Q34"/>
  <c r="AB34"/>
  <c r="J34"/>
  <c r="U34"/>
  <c r="L34"/>
  <c r="AV37"/>
  <c r="AT37"/>
  <c r="BE27"/>
  <c r="BE44"/>
  <c r="AZ44"/>
  <c r="BD28"/>
  <c r="AT28"/>
  <c r="E39"/>
  <c r="E32"/>
  <c r="Q32" s="1"/>
  <c r="H40"/>
  <c r="L40"/>
  <c r="P40"/>
  <c r="T40"/>
  <c r="X40"/>
  <c r="AB40"/>
  <c r="I40"/>
  <c r="M40"/>
  <c r="Q40"/>
  <c r="U40"/>
  <c r="Y40"/>
  <c r="J40"/>
  <c r="R40"/>
  <c r="Z40"/>
  <c r="G40"/>
  <c r="K40"/>
  <c r="S40"/>
  <c r="AA40"/>
  <c r="F40"/>
  <c r="N40"/>
  <c r="V40"/>
  <c r="O40"/>
  <c r="W40"/>
  <c r="G30"/>
  <c r="K30"/>
  <c r="O30"/>
  <c r="S30"/>
  <c r="W30"/>
  <c r="AA30"/>
  <c r="I30"/>
  <c r="N30"/>
  <c r="T30"/>
  <c r="Y30"/>
  <c r="J30"/>
  <c r="P30"/>
  <c r="U30"/>
  <c r="Z30"/>
  <c r="L30"/>
  <c r="V30"/>
  <c r="M30"/>
  <c r="X30"/>
  <c r="F30"/>
  <c r="Q30"/>
  <c r="AB30"/>
  <c r="H30"/>
  <c r="R30"/>
  <c r="AY33"/>
  <c r="AZ33"/>
  <c r="BB30"/>
  <c r="BA37"/>
  <c r="BC37"/>
  <c r="AU27"/>
  <c r="AW27"/>
  <c r="BA44"/>
  <c r="AX44"/>
  <c r="AY28"/>
  <c r="AZ28"/>
  <c r="E24"/>
  <c r="L24" s="1"/>
  <c r="E35"/>
  <c r="E42"/>
  <c r="O42" s="1"/>
  <c r="AU33"/>
  <c r="F41"/>
  <c r="J41"/>
  <c r="N41"/>
  <c r="R41"/>
  <c r="V41"/>
  <c r="Z41"/>
  <c r="I41"/>
  <c r="O41"/>
  <c r="T41"/>
  <c r="Y41"/>
  <c r="H41"/>
  <c r="S41"/>
  <c r="K41"/>
  <c r="P41"/>
  <c r="U41"/>
  <c r="AA41"/>
  <c r="G41"/>
  <c r="L41"/>
  <c r="Q41"/>
  <c r="W41"/>
  <c r="AB41"/>
  <c r="M41"/>
  <c r="X41"/>
  <c r="H31"/>
  <c r="L31"/>
  <c r="P31"/>
  <c r="T31"/>
  <c r="X31"/>
  <c r="AB31"/>
  <c r="G31"/>
  <c r="M31"/>
  <c r="R31"/>
  <c r="W31"/>
  <c r="I31"/>
  <c r="N31"/>
  <c r="S31"/>
  <c r="Y31"/>
  <c r="J31"/>
  <c r="U31"/>
  <c r="Q31"/>
  <c r="K31"/>
  <c r="V31"/>
  <c r="O31"/>
  <c r="Z31"/>
  <c r="F31"/>
  <c r="AA31"/>
  <c r="E29"/>
  <c r="M29" s="1"/>
  <c r="F26"/>
  <c r="J26"/>
  <c r="N26"/>
  <c r="R26"/>
  <c r="V26"/>
  <c r="Z26"/>
  <c r="G26"/>
  <c r="K26"/>
  <c r="O26"/>
  <c r="S26"/>
  <c r="W26"/>
  <c r="AA26"/>
  <c r="M26"/>
  <c r="U26"/>
  <c r="H26"/>
  <c r="P26"/>
  <c r="X26"/>
  <c r="Q26"/>
  <c r="T26"/>
  <c r="I26"/>
  <c r="Y26"/>
  <c r="L26"/>
  <c r="AB26"/>
  <c r="I21"/>
  <c r="M21"/>
  <c r="Q21"/>
  <c r="U21"/>
  <c r="Y21"/>
  <c r="F21"/>
  <c r="J21"/>
  <c r="N21"/>
  <c r="R21"/>
  <c r="V21"/>
  <c r="Z21"/>
  <c r="H21"/>
  <c r="P21"/>
  <c r="X21"/>
  <c r="K21"/>
  <c r="S21"/>
  <c r="AA21"/>
  <c r="L21"/>
  <c r="T21"/>
  <c r="AB21"/>
  <c r="G21"/>
  <c r="O21"/>
  <c r="W21"/>
  <c r="D2" i="31"/>
  <c r="B2" i="32"/>
  <c r="AV49" i="3"/>
  <c r="AY49"/>
  <c r="AX49"/>
  <c r="AT49"/>
  <c r="AV47"/>
  <c r="AU47"/>
  <c r="AY47"/>
  <c r="AT47"/>
  <c r="BD46"/>
  <c r="AW46"/>
  <c r="F44" i="31"/>
  <c r="G44" s="1"/>
  <c r="E45" i="3"/>
  <c r="G45" s="1"/>
  <c r="S19" i="1"/>
  <c r="AO7" i="3" s="1"/>
  <c r="AA20"/>
  <c r="P20"/>
  <c r="I20"/>
  <c r="C5" i="20"/>
  <c r="K22" i="9"/>
  <c r="B8" i="18"/>
  <c r="AT26" i="2"/>
  <c r="F6" i="3"/>
  <c r="H5" i="19"/>
  <c r="AT32" i="2"/>
  <c r="AT22"/>
  <c r="AT41"/>
  <c r="AT57"/>
  <c r="AT53"/>
  <c r="AT49"/>
  <c r="AT36"/>
  <c r="AT33"/>
  <c r="AT31"/>
  <c r="AT29"/>
  <c r="AT56"/>
  <c r="AT52"/>
  <c r="AT45"/>
  <c r="AT25"/>
  <c r="AT42"/>
  <c r="AT38"/>
  <c r="AT58"/>
  <c r="AT54"/>
  <c r="AT50"/>
  <c r="AT46"/>
  <c r="AT43"/>
  <c r="AT59"/>
  <c r="AT55"/>
  <c r="AT51"/>
  <c r="AT48"/>
  <c r="AT47"/>
  <c r="AT44"/>
  <c r="AT40"/>
  <c r="AT37"/>
  <c r="AT34"/>
  <c r="AT30"/>
  <c r="AT27"/>
  <c r="AT24"/>
  <c r="AT23"/>
  <c r="AT21"/>
  <c r="AT20"/>
  <c r="AT35"/>
  <c r="AT28"/>
  <c r="BC43" i="3"/>
  <c r="AV43"/>
  <c r="AV25"/>
  <c r="AW23"/>
  <c r="BE23"/>
  <c r="AX23"/>
  <c r="BA23"/>
  <c r="AV23"/>
  <c r="BB23"/>
  <c r="AT23"/>
  <c r="AZ23"/>
  <c r="BD23"/>
  <c r="AY23"/>
  <c r="AU23"/>
  <c r="BC23"/>
  <c r="BA56"/>
  <c r="AZ56"/>
  <c r="BC56"/>
  <c r="BD56"/>
  <c r="BB56"/>
  <c r="AT39" i="2"/>
  <c r="AT22" i="3"/>
  <c r="BA22"/>
  <c r="AX22"/>
  <c r="AV22"/>
  <c r="AZ22"/>
  <c r="BD22"/>
  <c r="BC22"/>
  <c r="BE22"/>
  <c r="BB22"/>
  <c r="AY22"/>
  <c r="AW22"/>
  <c r="AU22"/>
  <c r="AW57"/>
  <c r="AY25" l="1"/>
  <c r="S20"/>
  <c r="K43"/>
  <c r="R32"/>
  <c r="I42"/>
  <c r="AT25"/>
  <c r="AX43"/>
  <c r="O20"/>
  <c r="Y20"/>
  <c r="N20"/>
  <c r="G25"/>
  <c r="F25"/>
  <c r="Q38"/>
  <c r="H38"/>
  <c r="AI38" s="1"/>
  <c r="AJ38" s="1"/>
  <c r="E33" i="31" s="1"/>
  <c r="K38" i="3"/>
  <c r="J38"/>
  <c r="N43"/>
  <c r="AA43"/>
  <c r="T43"/>
  <c r="X24"/>
  <c r="L29"/>
  <c r="I29"/>
  <c r="Y32"/>
  <c r="Y42"/>
  <c r="R42"/>
  <c r="U45"/>
  <c r="BE43"/>
  <c r="G20"/>
  <c r="R20"/>
  <c r="P25"/>
  <c r="U25"/>
  <c r="R43"/>
  <c r="P43"/>
  <c r="X32"/>
  <c r="M32"/>
  <c r="AA42"/>
  <c r="BC25"/>
  <c r="BD43"/>
  <c r="BB43"/>
  <c r="M20"/>
  <c r="T20"/>
  <c r="F20"/>
  <c r="AI23"/>
  <c r="AJ23" s="1"/>
  <c r="E18" i="31" s="1"/>
  <c r="O25" i="3"/>
  <c r="V25"/>
  <c r="L38"/>
  <c r="P38"/>
  <c r="O38"/>
  <c r="R38"/>
  <c r="S43"/>
  <c r="O43"/>
  <c r="Z29"/>
  <c r="S32"/>
  <c r="V32"/>
  <c r="J42"/>
  <c r="X42"/>
  <c r="G42"/>
  <c r="N45"/>
  <c r="AK27"/>
  <c r="AL27" s="1"/>
  <c r="F22" i="31" s="1"/>
  <c r="G22" s="1"/>
  <c r="Q44" i="3"/>
  <c r="M36"/>
  <c r="AW25"/>
  <c r="BA43"/>
  <c r="AZ43"/>
  <c r="L20"/>
  <c r="H20"/>
  <c r="AK40"/>
  <c r="AL40" s="1"/>
  <c r="F35" i="31" s="1"/>
  <c r="G35" s="1"/>
  <c r="H25" i="3"/>
  <c r="J25"/>
  <c r="Y43"/>
  <c r="Z43"/>
  <c r="X43"/>
  <c r="AI22"/>
  <c r="AJ22" s="1"/>
  <c r="E17" i="31" s="1"/>
  <c r="Y29" i="3"/>
  <c r="Y19" s="1"/>
  <c r="J25" i="9" s="1"/>
  <c r="K25" s="1"/>
  <c r="J29" i="3"/>
  <c r="L45"/>
  <c r="Z24"/>
  <c r="AU25"/>
  <c r="AY43"/>
  <c r="U20"/>
  <c r="J20"/>
  <c r="Z20"/>
  <c r="X44"/>
  <c r="S25"/>
  <c r="L25"/>
  <c r="M25"/>
  <c r="F36"/>
  <c r="W43"/>
  <c r="Q43"/>
  <c r="H43"/>
  <c r="Q24"/>
  <c r="Q17" s="1"/>
  <c r="AA29"/>
  <c r="AM37"/>
  <c r="AX25"/>
  <c r="BA25"/>
  <c r="AT43"/>
  <c r="AW43"/>
  <c r="AU43"/>
  <c r="W20"/>
  <c r="Q20"/>
  <c r="K20"/>
  <c r="X20"/>
  <c r="R44"/>
  <c r="X25"/>
  <c r="N25"/>
  <c r="Q25"/>
  <c r="G36"/>
  <c r="M38"/>
  <c r="Y38"/>
  <c r="X38"/>
  <c r="W38"/>
  <c r="G38"/>
  <c r="J43"/>
  <c r="I43"/>
  <c r="G43"/>
  <c r="V43"/>
  <c r="S24"/>
  <c r="H24"/>
  <c r="S29"/>
  <c r="K29"/>
  <c r="N29"/>
  <c r="N32"/>
  <c r="W32"/>
  <c r="F32"/>
  <c r="Z42"/>
  <c r="W42"/>
  <c r="AI37"/>
  <c r="AJ37" s="1"/>
  <c r="E32" i="31" s="1"/>
  <c r="AK34" i="3"/>
  <c r="AL34" s="1"/>
  <c r="F29" i="31" s="1"/>
  <c r="G29" s="1"/>
  <c r="G39" i="3"/>
  <c r="W39"/>
  <c r="P39"/>
  <c r="I39"/>
  <c r="J39"/>
  <c r="U39"/>
  <c r="H39"/>
  <c r="Y39"/>
  <c r="K39"/>
  <c r="AA39"/>
  <c r="T39"/>
  <c r="Q39"/>
  <c r="R39"/>
  <c r="F39"/>
  <c r="O39"/>
  <c r="X39"/>
  <c r="Z39"/>
  <c r="V39"/>
  <c r="L39"/>
  <c r="AM21"/>
  <c r="AN21" s="1"/>
  <c r="H16" i="31" s="1"/>
  <c r="I16" s="1"/>
  <c r="N39" i="3"/>
  <c r="H35"/>
  <c r="S35"/>
  <c r="L35"/>
  <c r="N35"/>
  <c r="Y35"/>
  <c r="K35"/>
  <c r="T35"/>
  <c r="I35"/>
  <c r="O35"/>
  <c r="X35"/>
  <c r="Q35"/>
  <c r="F35"/>
  <c r="W35"/>
  <c r="P35"/>
  <c r="M35"/>
  <c r="V35"/>
  <c r="J35"/>
  <c r="AA35"/>
  <c r="U35"/>
  <c r="Z35"/>
  <c r="G35"/>
  <c r="R35"/>
  <c r="AM33"/>
  <c r="AN33" s="1"/>
  <c r="H28" i="31" s="1"/>
  <c r="I28" s="1"/>
  <c r="AI26" i="3"/>
  <c r="AJ26" s="1"/>
  <c r="E21" i="31" s="1"/>
  <c r="M39" i="3"/>
  <c r="S39"/>
  <c r="AF55"/>
  <c r="AE55"/>
  <c r="AD55"/>
  <c r="AC55"/>
  <c r="AE53"/>
  <c r="AF53"/>
  <c r="AD53"/>
  <c r="AC53"/>
  <c r="AF51"/>
  <c r="AE51"/>
  <c r="AD51"/>
  <c r="AC51"/>
  <c r="AI41"/>
  <c r="AJ41" s="1"/>
  <c r="E36" i="31" s="1"/>
  <c r="Z44" i="3"/>
  <c r="I44"/>
  <c r="AK23"/>
  <c r="AL23" s="1"/>
  <c r="F18" i="31" s="1"/>
  <c r="G18" s="1"/>
  <c r="W24" i="3"/>
  <c r="M24"/>
  <c r="J45"/>
  <c r="X45"/>
  <c r="O45"/>
  <c r="AD56"/>
  <c r="AC56"/>
  <c r="AE56"/>
  <c r="AF56"/>
  <c r="AD59"/>
  <c r="AF59"/>
  <c r="AE59"/>
  <c r="AC59"/>
  <c r="AD52"/>
  <c r="AC52"/>
  <c r="AE52"/>
  <c r="AF52"/>
  <c r="AE57"/>
  <c r="AF57"/>
  <c r="AC57"/>
  <c r="AD57"/>
  <c r="AK31"/>
  <c r="S44"/>
  <c r="V44"/>
  <c r="O44"/>
  <c r="AA25"/>
  <c r="W25"/>
  <c r="T25"/>
  <c r="R25"/>
  <c r="Y25"/>
  <c r="I25"/>
  <c r="AK25" s="1"/>
  <c r="AL25" s="1"/>
  <c r="F20" i="31" s="1"/>
  <c r="G20" s="1"/>
  <c r="K36" i="3"/>
  <c r="W36"/>
  <c r="V36"/>
  <c r="U36"/>
  <c r="AB36"/>
  <c r="AD36" s="1"/>
  <c r="L36"/>
  <c r="R24"/>
  <c r="O24"/>
  <c r="F24"/>
  <c r="Y24"/>
  <c r="I24"/>
  <c r="P24"/>
  <c r="T29"/>
  <c r="O29"/>
  <c r="W29"/>
  <c r="U29"/>
  <c r="V29"/>
  <c r="F29"/>
  <c r="T32"/>
  <c r="H32"/>
  <c r="L32"/>
  <c r="P32"/>
  <c r="U32"/>
  <c r="U42"/>
  <c r="T42"/>
  <c r="Q42"/>
  <c r="M42"/>
  <c r="S42"/>
  <c r="V45"/>
  <c r="F45"/>
  <c r="M45"/>
  <c r="T45"/>
  <c r="AA45"/>
  <c r="K45"/>
  <c r="BB57"/>
  <c r="BD57"/>
  <c r="BC57"/>
  <c r="BA57"/>
  <c r="BE57"/>
  <c r="AZ57"/>
  <c r="AK37"/>
  <c r="AL37" s="1"/>
  <c r="F32" i="31" s="1"/>
  <c r="G32" s="1"/>
  <c r="BE51" i="3"/>
  <c r="BA51"/>
  <c r="BB51"/>
  <c r="AZ51"/>
  <c r="BD51"/>
  <c r="BC51"/>
  <c r="AF58"/>
  <c r="AE58"/>
  <c r="AC58"/>
  <c r="AD58"/>
  <c r="AF54"/>
  <c r="AE54"/>
  <c r="AD54"/>
  <c r="AC54"/>
  <c r="G44"/>
  <c r="AM30"/>
  <c r="AN30" s="1"/>
  <c r="H25" i="31" s="1"/>
  <c r="I25" s="1"/>
  <c r="AA36" i="3"/>
  <c r="J36"/>
  <c r="S36"/>
  <c r="Y36"/>
  <c r="I36"/>
  <c r="P36"/>
  <c r="N24"/>
  <c r="K24"/>
  <c r="T24"/>
  <c r="AI27"/>
  <c r="AJ27" s="1"/>
  <c r="E22" i="31" s="1"/>
  <c r="Z45" i="3"/>
  <c r="Q45"/>
  <c r="H45"/>
  <c r="AK26"/>
  <c r="AL26" s="1"/>
  <c r="F21" i="31" s="1"/>
  <c r="G21" s="1"/>
  <c r="AB44" i="3"/>
  <c r="AC44" s="1"/>
  <c r="K44"/>
  <c r="Y44"/>
  <c r="AM28"/>
  <c r="AN28" s="1"/>
  <c r="H23" i="31" s="1"/>
  <c r="I23" s="1"/>
  <c r="Z36" i="3"/>
  <c r="O36"/>
  <c r="N36"/>
  <c r="Q36"/>
  <c r="X36"/>
  <c r="AK22"/>
  <c r="AL22" s="1"/>
  <c r="F17" i="31" s="1"/>
  <c r="G17" s="1"/>
  <c r="J24" i="3"/>
  <c r="G24"/>
  <c r="AA24"/>
  <c r="U24"/>
  <c r="AM27"/>
  <c r="AN27" s="1"/>
  <c r="H22" i="31" s="1"/>
  <c r="I22" s="1"/>
  <c r="G29" i="3"/>
  <c r="X29"/>
  <c r="Q29"/>
  <c r="P29"/>
  <c r="R29"/>
  <c r="O32"/>
  <c r="J32"/>
  <c r="G32"/>
  <c r="K32"/>
  <c r="V42"/>
  <c r="P42"/>
  <c r="N42"/>
  <c r="F42"/>
  <c r="H42"/>
  <c r="R45"/>
  <c r="Y45"/>
  <c r="I45"/>
  <c r="P45"/>
  <c r="W45"/>
  <c r="AK21"/>
  <c r="AL21" s="1"/>
  <c r="F16" i="31" s="1"/>
  <c r="G16" s="1"/>
  <c r="AI21" i="3"/>
  <c r="AJ21" s="1"/>
  <c r="E16" i="31" s="1"/>
  <c r="AK30" i="3"/>
  <c r="AO30" s="1"/>
  <c r="K25" i="31" s="1"/>
  <c r="AI34" i="3"/>
  <c r="AJ34" s="1"/>
  <c r="E29" i="31" s="1"/>
  <c r="AK28" i="3"/>
  <c r="AL28" s="1"/>
  <c r="F23" i="31" s="1"/>
  <c r="G23" s="1"/>
  <c r="AK47" i="3"/>
  <c r="AM26"/>
  <c r="AN26" s="1"/>
  <c r="H21" i="31" s="1"/>
  <c r="I21" s="1"/>
  <c r="AM31" i="3"/>
  <c r="AN31" s="1"/>
  <c r="H26" i="31" s="1"/>
  <c r="I26" s="1"/>
  <c r="AM41" i="3"/>
  <c r="AN41" s="1"/>
  <c r="H36" i="31" s="1"/>
  <c r="I36" s="1"/>
  <c r="AK41" i="3"/>
  <c r="AL41" s="1"/>
  <c r="F36" i="31" s="1"/>
  <c r="G36" s="1"/>
  <c r="AI30" i="3"/>
  <c r="AJ30" s="1"/>
  <c r="E25" i="31" s="1"/>
  <c r="AM40" i="3"/>
  <c r="AN40" s="1"/>
  <c r="H35" i="31" s="1"/>
  <c r="I35" s="1"/>
  <c r="AI40" i="3"/>
  <c r="AJ40" s="1"/>
  <c r="E35" i="31" s="1"/>
  <c r="AM23" i="3"/>
  <c r="AN23" s="1"/>
  <c r="H18" i="31" s="1"/>
  <c r="I18" s="1"/>
  <c r="AM25" i="3"/>
  <c r="AN25" s="1"/>
  <c r="H20" i="31" s="1"/>
  <c r="I20" s="1"/>
  <c r="AK33" i="3"/>
  <c r="AL33" s="1"/>
  <c r="F28" i="31" s="1"/>
  <c r="G28" s="1"/>
  <c r="AM22" i="3"/>
  <c r="AN22" s="1"/>
  <c r="H17" i="31" s="1"/>
  <c r="I17" s="1"/>
  <c r="AM46" i="3"/>
  <c r="AN46" s="1"/>
  <c r="H41" i="31" s="1"/>
  <c r="I41" s="1"/>
  <c r="AK46" i="3"/>
  <c r="AL46" s="1"/>
  <c r="F41" i="31" s="1"/>
  <c r="G41" s="1"/>
  <c r="AI47" i="3"/>
  <c r="AJ47" s="1"/>
  <c r="AM48"/>
  <c r="AN48" s="1"/>
  <c r="H43" i="31" s="1"/>
  <c r="I43" s="1"/>
  <c r="AK48" i="3"/>
  <c r="AL48" s="1"/>
  <c r="F43" i="31" s="1"/>
  <c r="G43" s="1"/>
  <c r="AO28" i="3"/>
  <c r="K23" i="31" s="1"/>
  <c r="AL47" i="3"/>
  <c r="F42" i="31" s="1"/>
  <c r="G42" s="1"/>
  <c r="AO21" i="3"/>
  <c r="K16" i="31" s="1"/>
  <c r="AN37" i="3"/>
  <c r="H32" i="31" s="1"/>
  <c r="I32" s="1"/>
  <c r="AK45" i="3"/>
  <c r="AI46"/>
  <c r="AJ46" s="1"/>
  <c r="AI48"/>
  <c r="AJ48" s="1"/>
  <c r="AI31"/>
  <c r="AJ31" s="1"/>
  <c r="E26" i="31" s="1"/>
  <c r="AO40" i="3"/>
  <c r="K35" i="31" s="1"/>
  <c r="AM34" i="3"/>
  <c r="AM47"/>
  <c r="AN47" s="1"/>
  <c r="H44"/>
  <c r="W44"/>
  <c r="L44"/>
  <c r="AA44"/>
  <c r="P44"/>
  <c r="F44"/>
  <c r="N44"/>
  <c r="T44"/>
  <c r="J44"/>
  <c r="U44"/>
  <c r="AU20"/>
  <c r="AW20"/>
  <c r="AX20"/>
  <c r="AY20"/>
  <c r="AT20"/>
  <c r="AV20"/>
  <c r="BC20"/>
  <c r="BD20"/>
  <c r="AZ20"/>
  <c r="BE20"/>
  <c r="BA20"/>
  <c r="BB20"/>
  <c r="BB25"/>
  <c r="BD25"/>
  <c r="BE25"/>
  <c r="AC26"/>
  <c r="AF26"/>
  <c r="AH26" s="1"/>
  <c r="AD26"/>
  <c r="AE26"/>
  <c r="AE25"/>
  <c r="AC25"/>
  <c r="AF25"/>
  <c r="AH25" s="1"/>
  <c r="AD25"/>
  <c r="AE36"/>
  <c r="AF36"/>
  <c r="AH36" s="1"/>
  <c r="AD35"/>
  <c r="AC35"/>
  <c r="AF35"/>
  <c r="AH35" s="1"/>
  <c r="AE35"/>
  <c r="AD22"/>
  <c r="AC22"/>
  <c r="AE22"/>
  <c r="AF22"/>
  <c r="AH22" s="1"/>
  <c r="AD31"/>
  <c r="AE31"/>
  <c r="AC31"/>
  <c r="AF31"/>
  <c r="AH31" s="1"/>
  <c r="BE35"/>
  <c r="AY35"/>
  <c r="AZ35"/>
  <c r="BB35"/>
  <c r="AT35"/>
  <c r="AX35"/>
  <c r="BC35"/>
  <c r="BA35"/>
  <c r="BD35"/>
  <c r="AU35"/>
  <c r="AV35"/>
  <c r="AW35"/>
  <c r="AD30"/>
  <c r="AC30"/>
  <c r="AF30"/>
  <c r="AH30" s="1"/>
  <c r="AE30"/>
  <c r="BC39"/>
  <c r="AY39"/>
  <c r="AZ39"/>
  <c r="AT39"/>
  <c r="BE39"/>
  <c r="BA39"/>
  <c r="AV39"/>
  <c r="BB39"/>
  <c r="AU39"/>
  <c r="AX39"/>
  <c r="AW39"/>
  <c r="BD39"/>
  <c r="AD34"/>
  <c r="AE34"/>
  <c r="AC34"/>
  <c r="AF34"/>
  <c r="AH34" s="1"/>
  <c r="AC39"/>
  <c r="AE39"/>
  <c r="AD39"/>
  <c r="AF39"/>
  <c r="AH39" s="1"/>
  <c r="AD23"/>
  <c r="AC23"/>
  <c r="AF23"/>
  <c r="AH23" s="1"/>
  <c r="AE23"/>
  <c r="AD33"/>
  <c r="AE33"/>
  <c r="AF33"/>
  <c r="AH33" s="1"/>
  <c r="AC33"/>
  <c r="AD24"/>
  <c r="AC24"/>
  <c r="AE24"/>
  <c r="AF24"/>
  <c r="AH24" s="1"/>
  <c r="AF27"/>
  <c r="AH27" s="1"/>
  <c r="AC27"/>
  <c r="AD27"/>
  <c r="AE27"/>
  <c r="AF29"/>
  <c r="AH29" s="1"/>
  <c r="AE29"/>
  <c r="AD29"/>
  <c r="AC29"/>
  <c r="AD37"/>
  <c r="AC37"/>
  <c r="AE37"/>
  <c r="AF37"/>
  <c r="AH37" s="1"/>
  <c r="AW42"/>
  <c r="AY42"/>
  <c r="AU42"/>
  <c r="BC42"/>
  <c r="BA42"/>
  <c r="AX42"/>
  <c r="AV42"/>
  <c r="BD42"/>
  <c r="BB42"/>
  <c r="BE42"/>
  <c r="AZ42"/>
  <c r="AT42"/>
  <c r="AV32"/>
  <c r="BD32"/>
  <c r="BC32"/>
  <c r="BA32"/>
  <c r="AU32"/>
  <c r="AZ32"/>
  <c r="AX32"/>
  <c r="AY32"/>
  <c r="AW32"/>
  <c r="BE32"/>
  <c r="AT32"/>
  <c r="BB32"/>
  <c r="AC28"/>
  <c r="AD28"/>
  <c r="AF28"/>
  <c r="AH28" s="1"/>
  <c r="AE28"/>
  <c r="AD38"/>
  <c r="AF38"/>
  <c r="AH38" s="1"/>
  <c r="AC38"/>
  <c r="AE38"/>
  <c r="AD43"/>
  <c r="AC43"/>
  <c r="AF43"/>
  <c r="AH43" s="1"/>
  <c r="AE43"/>
  <c r="AE32"/>
  <c r="AF32"/>
  <c r="AH32" s="1"/>
  <c r="AD32"/>
  <c r="AC32"/>
  <c r="AC21"/>
  <c r="AF21"/>
  <c r="AH21" s="1"/>
  <c r="AD21"/>
  <c r="AE21"/>
  <c r="AY29"/>
  <c r="BC29"/>
  <c r="AT29"/>
  <c r="AX29"/>
  <c r="AW29"/>
  <c r="BE29"/>
  <c r="BA29"/>
  <c r="AZ29"/>
  <c r="BD29"/>
  <c r="AV29"/>
  <c r="AU29"/>
  <c r="BB29"/>
  <c r="AD41"/>
  <c r="AE41"/>
  <c r="AF41"/>
  <c r="AH41" s="1"/>
  <c r="AC41"/>
  <c r="BA24"/>
  <c r="BD24"/>
  <c r="AU24"/>
  <c r="AX24"/>
  <c r="BB24"/>
  <c r="AT24"/>
  <c r="AY24"/>
  <c r="AZ24"/>
  <c r="BC24"/>
  <c r="AW24"/>
  <c r="BE24"/>
  <c r="AV24"/>
  <c r="AE40"/>
  <c r="AD40"/>
  <c r="AC40"/>
  <c r="AF40"/>
  <c r="AH40" s="1"/>
  <c r="AD42"/>
  <c r="AE42"/>
  <c r="AC42"/>
  <c r="AF42"/>
  <c r="AH42" s="1"/>
  <c r="AK20"/>
  <c r="AL20" s="1"/>
  <c r="F15" i="31" s="1"/>
  <c r="G15" s="1"/>
  <c r="H42"/>
  <c r="I42" s="1"/>
  <c r="AE50" i="3"/>
  <c r="AC50"/>
  <c r="AF50"/>
  <c r="AD50"/>
  <c r="H44" i="31"/>
  <c r="I44" s="1"/>
  <c r="AU45" i="3"/>
  <c r="AX45"/>
  <c r="AW45"/>
  <c r="AT45"/>
  <c r="AY45"/>
  <c r="AV45"/>
  <c r="AF49"/>
  <c r="AH49" s="1"/>
  <c r="AC49"/>
  <c r="AE49"/>
  <c r="AD49"/>
  <c r="AD48"/>
  <c r="AE48"/>
  <c r="AC48"/>
  <c r="AF48"/>
  <c r="AH48" s="1"/>
  <c r="AF47"/>
  <c r="AH47" s="1"/>
  <c r="AD47"/>
  <c r="AE47"/>
  <c r="AC47"/>
  <c r="AE46"/>
  <c r="AC46"/>
  <c r="AF46"/>
  <c r="AH46" s="1"/>
  <c r="AD46"/>
  <c r="BE45"/>
  <c r="AZ45"/>
  <c r="BD45"/>
  <c r="BB45"/>
  <c r="BC45"/>
  <c r="BA45"/>
  <c r="AF45"/>
  <c r="AH45" s="1"/>
  <c r="AC45"/>
  <c r="AE45"/>
  <c r="AD45"/>
  <c r="S1" i="1"/>
  <c r="AD20" i="3"/>
  <c r="AC20"/>
  <c r="AE20"/>
  <c r="AF20"/>
  <c r="L7" i="19"/>
  <c r="G19" i="3"/>
  <c r="O10" i="20" s="1"/>
  <c r="P10" s="1"/>
  <c r="AT19" i="2"/>
  <c r="AO8" i="3" s="1"/>
  <c r="Y18" l="1"/>
  <c r="H25" i="9" s="1"/>
  <c r="I25" s="1"/>
  <c r="G17" i="3"/>
  <c r="I10" i="20" s="1"/>
  <c r="J10" s="1"/>
  <c r="AF44" i="3"/>
  <c r="AH44" s="1"/>
  <c r="R18"/>
  <c r="V19"/>
  <c r="AM43"/>
  <c r="AN43" s="1"/>
  <c r="H38" i="31" s="1"/>
  <c r="I38" s="1"/>
  <c r="AD44" i="3"/>
  <c r="AI45"/>
  <c r="AJ45" s="1"/>
  <c r="F19"/>
  <c r="J6" i="9" s="1"/>
  <c r="K6" s="1"/>
  <c r="O17" i="3"/>
  <c r="O5" i="26" s="1"/>
  <c r="O6" s="1"/>
  <c r="Y17" i="3"/>
  <c r="F25" i="9" s="1"/>
  <c r="G25" s="1"/>
  <c r="V7" i="25" s="1"/>
  <c r="AM38" i="3"/>
  <c r="AN38" s="1"/>
  <c r="H33" i="31" s="1"/>
  <c r="I33" s="1"/>
  <c r="AK38" i="3"/>
  <c r="AO38" s="1"/>
  <c r="K33" i="31" s="1"/>
  <c r="Q18" i="3"/>
  <c r="H17" i="9" s="1"/>
  <c r="I17" s="1"/>
  <c r="S18" i="3"/>
  <c r="H19" i="9" s="1"/>
  <c r="I19" s="1"/>
  <c r="AM20" i="3"/>
  <c r="AN20" s="1"/>
  <c r="H15" i="31" s="1"/>
  <c r="I15" s="1"/>
  <c r="AL38" i="3"/>
  <c r="F33" i="31" s="1"/>
  <c r="G33" s="1"/>
  <c r="F17" i="3"/>
  <c r="J19"/>
  <c r="J10" i="9" s="1"/>
  <c r="K10" s="1"/>
  <c r="O18" i="3"/>
  <c r="H15" i="9" s="1"/>
  <c r="I15" s="1"/>
  <c r="AO27" i="3"/>
  <c r="K22" i="31" s="1"/>
  <c r="AO26" i="3"/>
  <c r="K21" i="31" s="1"/>
  <c r="AM39" i="3"/>
  <c r="AN39" s="1"/>
  <c r="H34" i="31" s="1"/>
  <c r="I34" s="1"/>
  <c r="R17" i="3"/>
  <c r="F18" i="9" s="1"/>
  <c r="G18" s="1"/>
  <c r="O7" i="25" s="1"/>
  <c r="S17" i="3"/>
  <c r="F19" i="9" s="1"/>
  <c r="G19" s="1"/>
  <c r="P7" i="25" s="1"/>
  <c r="L18" i="3"/>
  <c r="H12" i="9" s="1"/>
  <c r="I12" s="1"/>
  <c r="AI43" i="3"/>
  <c r="AJ43" s="1"/>
  <c r="E38" i="31" s="1"/>
  <c r="AM32" i="3"/>
  <c r="AN32" s="1"/>
  <c r="H27" i="31" s="1"/>
  <c r="I27" s="1"/>
  <c r="I17" i="3"/>
  <c r="E5" i="26" s="1"/>
  <c r="E6" s="1"/>
  <c r="AO22" i="3"/>
  <c r="K17" i="31" s="1"/>
  <c r="H17" i="3"/>
  <c r="AM29"/>
  <c r="AN29" s="1"/>
  <c r="H24" i="31" s="1"/>
  <c r="I24" s="1"/>
  <c r="N19" i="3"/>
  <c r="AM45"/>
  <c r="AN45" s="1"/>
  <c r="AM42"/>
  <c r="AN42" s="1"/>
  <c r="H37" i="31" s="1"/>
  <c r="I37" s="1"/>
  <c r="L19" i="3"/>
  <c r="J12" i="9" s="1"/>
  <c r="K12" s="1"/>
  <c r="V17" i="3"/>
  <c r="F22" i="9" s="1"/>
  <c r="G22" s="1"/>
  <c r="S7" i="25" s="1"/>
  <c r="K18" i="3"/>
  <c r="H11" i="9" s="1"/>
  <c r="I11" s="1"/>
  <c r="AI25" i="3"/>
  <c r="AJ25" s="1"/>
  <c r="E20" i="31" s="1"/>
  <c r="M17" i="3"/>
  <c r="M5" i="26" s="1"/>
  <c r="M6" s="1"/>
  <c r="T17" i="3"/>
  <c r="F20" i="9" s="1"/>
  <c r="G20" s="1"/>
  <c r="Q7" i="25" s="1"/>
  <c r="Q19" i="3"/>
  <c r="J17" i="9" s="1"/>
  <c r="K17" s="1"/>
  <c r="AK43" i="3"/>
  <c r="AO48"/>
  <c r="K43" i="31" s="1"/>
  <c r="AK39" i="3"/>
  <c r="AO39" s="1"/>
  <c r="K34" i="31" s="1"/>
  <c r="AM35" i="3"/>
  <c r="AN35" s="1"/>
  <c r="H30" i="31" s="1"/>
  <c r="I30" s="1"/>
  <c r="S19" i="3"/>
  <c r="J19" i="9" s="1"/>
  <c r="K19" s="1"/>
  <c r="O19" i="3"/>
  <c r="J15" i="9" s="1"/>
  <c r="K15" s="1"/>
  <c r="AK35" i="3"/>
  <c r="AO35" s="1"/>
  <c r="K30" i="31" s="1"/>
  <c r="M19" i="3"/>
  <c r="J13" i="9" s="1"/>
  <c r="K13" s="1"/>
  <c r="M18" i="3"/>
  <c r="H13" i="9" s="1"/>
  <c r="I13" s="1"/>
  <c r="K17" i="3"/>
  <c r="I5" i="26" s="1"/>
  <c r="I6" s="1"/>
  <c r="AK36" i="3"/>
  <c r="AL36" s="1"/>
  <c r="F31" i="31" s="1"/>
  <c r="G31" s="1"/>
  <c r="AO37" i="3"/>
  <c r="K32" i="31" s="1"/>
  <c r="AI36" i="3"/>
  <c r="AJ36" s="1"/>
  <c r="E31" i="31" s="1"/>
  <c r="AO31" i="3"/>
  <c r="K26" i="31" s="1"/>
  <c r="AL30" i="3"/>
  <c r="F25" i="31" s="1"/>
  <c r="G25" s="1"/>
  <c r="AK24" i="3"/>
  <c r="K19"/>
  <c r="J11" i="9" s="1"/>
  <c r="K11" s="1"/>
  <c r="AO23" i="3"/>
  <c r="K18" i="31" s="1"/>
  <c r="AL35" i="3"/>
  <c r="F30" i="31" s="1"/>
  <c r="G30" s="1"/>
  <c r="AL24" i="3"/>
  <c r="F19" i="31" s="1"/>
  <c r="G19" s="1"/>
  <c r="AO46" i="3"/>
  <c r="K41" i="31" s="1"/>
  <c r="AO33" i="3"/>
  <c r="K28" i="31" s="1"/>
  <c r="AM24" i="3"/>
  <c r="AN24" s="1"/>
  <c r="H19" i="31" s="1"/>
  <c r="I19" s="1"/>
  <c r="AK32" i="3"/>
  <c r="G18"/>
  <c r="H7" i="9" s="1"/>
  <c r="I7" s="1"/>
  <c r="N18" i="3"/>
  <c r="H14" i="9" s="1"/>
  <c r="I14" s="1"/>
  <c r="N17" i="3"/>
  <c r="F14" i="9" s="1"/>
  <c r="G14" s="1"/>
  <c r="K7" i="25" s="1"/>
  <c r="J18" i="3"/>
  <c r="H10" i="9" s="1"/>
  <c r="I10" s="1"/>
  <c r="F18" i="3"/>
  <c r="H6" i="9" s="1"/>
  <c r="I6" s="1"/>
  <c r="I18" i="3"/>
  <c r="H9" i="9" s="1"/>
  <c r="I9" s="1"/>
  <c r="V18" i="3"/>
  <c r="H22" i="9" s="1"/>
  <c r="I22" s="1"/>
  <c r="E42" i="31"/>
  <c r="AE44" i="3"/>
  <c r="AC36"/>
  <c r="AC19" s="1"/>
  <c r="H7" i="19" s="1"/>
  <c r="L17" i="3"/>
  <c r="K5" i="26" s="1"/>
  <c r="K6" s="1"/>
  <c r="AL31" i="3"/>
  <c r="F26" i="31" s="1"/>
  <c r="G26" s="1"/>
  <c r="AO41" i="3"/>
  <c r="K36" i="31" s="1"/>
  <c r="AK29" i="3"/>
  <c r="AI29"/>
  <c r="AJ29" s="1"/>
  <c r="E24" i="31" s="1"/>
  <c r="AI35" i="3"/>
  <c r="AJ35" s="1"/>
  <c r="E30" i="31" s="1"/>
  <c r="AI24" i="3"/>
  <c r="AJ24" s="1"/>
  <c r="E19" i="31" s="1"/>
  <c r="AI39" i="3"/>
  <c r="AJ39" s="1"/>
  <c r="E34" i="31" s="1"/>
  <c r="R19" i="3"/>
  <c r="I19"/>
  <c r="J9" i="9" s="1"/>
  <c r="K9" s="1"/>
  <c r="H18" i="3"/>
  <c r="H8" i="9" s="1"/>
  <c r="I8" s="1"/>
  <c r="J17" i="3"/>
  <c r="G5" i="26" s="1"/>
  <c r="G6" s="1"/>
  <c r="P18" i="3"/>
  <c r="H16" i="9" s="1"/>
  <c r="I16" s="1"/>
  <c r="H19" i="3"/>
  <c r="J8" i="9" s="1"/>
  <c r="K8" s="1"/>
  <c r="AO25" i="3"/>
  <c r="K20" i="31" s="1"/>
  <c r="AI32" i="3"/>
  <c r="AJ32" s="1"/>
  <c r="E27" i="31" s="1"/>
  <c r="AK42" i="3"/>
  <c r="AI42"/>
  <c r="AJ42" s="1"/>
  <c r="E37" i="31" s="1"/>
  <c r="AM36" i="3"/>
  <c r="AN36" s="1"/>
  <c r="H31" i="31" s="1"/>
  <c r="I31" s="1"/>
  <c r="P17" i="3"/>
  <c r="F16" i="9" s="1"/>
  <c r="G16" s="1"/>
  <c r="M7" i="25" s="1"/>
  <c r="P19" i="3"/>
  <c r="J16" i="9" s="1"/>
  <c r="K16" s="1"/>
  <c r="AO45" i="3"/>
  <c r="AL45"/>
  <c r="AK44"/>
  <c r="T19"/>
  <c r="J20" i="9" s="1"/>
  <c r="K20" s="1"/>
  <c r="AM44" i="3"/>
  <c r="AN44" s="1"/>
  <c r="H39" i="31" s="1"/>
  <c r="I39" s="1"/>
  <c r="AN34" i="3"/>
  <c r="H29" i="31" s="1"/>
  <c r="I29" s="1"/>
  <c r="AO34" i="3"/>
  <c r="K29" i="31" s="1"/>
  <c r="AO20" i="3"/>
  <c r="K15" i="31" s="1"/>
  <c r="AI44" i="3"/>
  <c r="AJ44" s="1"/>
  <c r="E39" i="31" s="1"/>
  <c r="AO47" i="3"/>
  <c r="K42" i="31" s="1"/>
  <c r="T18" i="3"/>
  <c r="H20" i="9" s="1"/>
  <c r="I20" s="1"/>
  <c r="AD19" i="3"/>
  <c r="I7" i="19" s="1"/>
  <c r="K44" i="31"/>
  <c r="E44"/>
  <c r="E43"/>
  <c r="AE19" i="3"/>
  <c r="G7" i="19" s="1"/>
  <c r="E41" i="31"/>
  <c r="X19" i="3"/>
  <c r="J24" i="9" s="1"/>
  <c r="K24" s="1"/>
  <c r="X18" i="3"/>
  <c r="H24" i="9" s="1"/>
  <c r="I24" s="1"/>
  <c r="X17" i="3"/>
  <c r="F24" i="9" s="1"/>
  <c r="G24" s="1"/>
  <c r="U7" i="25" s="1"/>
  <c r="U19" i="3"/>
  <c r="J21" i="9" s="1"/>
  <c r="K21" s="1"/>
  <c r="U17" i="3"/>
  <c r="F21" i="9" s="1"/>
  <c r="G21" s="1"/>
  <c r="R7" i="25" s="1"/>
  <c r="U18" i="3"/>
  <c r="H21" i="9" s="1"/>
  <c r="I21" s="1"/>
  <c r="Z19" i="3"/>
  <c r="J26" i="9" s="1"/>
  <c r="K26" s="1"/>
  <c r="Z17" i="3"/>
  <c r="F26" i="9" s="1"/>
  <c r="G26" s="1"/>
  <c r="W7" i="25" s="1"/>
  <c r="Z18" i="3"/>
  <c r="H26" i="9" s="1"/>
  <c r="I26" s="1"/>
  <c r="C5" i="26"/>
  <c r="C6" s="1"/>
  <c r="G10" i="20"/>
  <c r="B5" i="26"/>
  <c r="B6" s="1"/>
  <c r="D10" i="20"/>
  <c r="E10" s="1"/>
  <c r="H18" i="9"/>
  <c r="I18" s="1"/>
  <c r="AF19" i="3"/>
  <c r="E7" i="19" s="1"/>
  <c r="AH20" i="3"/>
  <c r="AH18" s="1"/>
  <c r="F17" i="9"/>
  <c r="G17" s="1"/>
  <c r="N7" i="25" s="1"/>
  <c r="Q5" i="26"/>
  <c r="Q6" s="1"/>
  <c r="F7" i="9"/>
  <c r="G7" s="1"/>
  <c r="D7" i="25" s="1"/>
  <c r="J14" i="9"/>
  <c r="K14" s="1"/>
  <c r="J7"/>
  <c r="K7" s="1"/>
  <c r="F8"/>
  <c r="G8" s="1"/>
  <c r="E7" i="25" s="1"/>
  <c r="F15" i="9"/>
  <c r="G15" s="1"/>
  <c r="L7" i="25" s="1"/>
  <c r="F6" i="9"/>
  <c r="AT1" i="2"/>
  <c r="A5" i="1" s="1"/>
  <c r="BH23" i="3" l="1"/>
  <c r="AL43"/>
  <c r="F38" i="31" s="1"/>
  <c r="G38" s="1"/>
  <c r="AO43" i="3"/>
  <c r="K38" i="31" s="1"/>
  <c r="F9" i="9"/>
  <c r="G9" s="1"/>
  <c r="F7" i="25" s="1"/>
  <c r="F13" i="9"/>
  <c r="G13" s="1"/>
  <c r="J7" i="25" s="1"/>
  <c r="AL39" i="3"/>
  <c r="F34" i="31" s="1"/>
  <c r="G34" s="1"/>
  <c r="F11" i="9"/>
  <c r="G11" s="1"/>
  <c r="H7" i="25" s="1"/>
  <c r="BH25" i="3"/>
  <c r="BH22"/>
  <c r="N5" i="26"/>
  <c r="N6" s="1"/>
  <c r="BI24" i="3"/>
  <c r="BI25"/>
  <c r="BF24"/>
  <c r="J18" i="9"/>
  <c r="K18" s="1"/>
  <c r="F12"/>
  <c r="G12" s="1"/>
  <c r="I7" i="25" s="1"/>
  <c r="BF23" i="3"/>
  <c r="BH21"/>
  <c r="BF25"/>
  <c r="P5" i="26"/>
  <c r="P6" s="1"/>
  <c r="F11" i="20"/>
  <c r="M10"/>
  <c r="N10" s="1"/>
  <c r="AO32" i="3"/>
  <c r="K27" i="31" s="1"/>
  <c r="AL32" i="3"/>
  <c r="F27" i="31" s="1"/>
  <c r="G27" s="1"/>
  <c r="AO24" i="3"/>
  <c r="K19" i="31" s="1"/>
  <c r="AL29" i="3"/>
  <c r="F24" i="31" s="1"/>
  <c r="G24" s="1"/>
  <c r="AO29" i="3"/>
  <c r="K24" i="31" s="1"/>
  <c r="BH20" i="3"/>
  <c r="F10" i="9"/>
  <c r="G10" s="1"/>
  <c r="G7" i="25" s="1"/>
  <c r="D11" i="20"/>
  <c r="E11" s="1"/>
  <c r="BI23" i="3"/>
  <c r="F10" i="20"/>
  <c r="AO42" i="3"/>
  <c r="K37" i="31" s="1"/>
  <c r="AL42" i="3"/>
  <c r="F37" i="31" s="1"/>
  <c r="G37" s="1"/>
  <c r="AO36" i="3"/>
  <c r="K31" i="31" s="1"/>
  <c r="G11" i="20"/>
  <c r="AL44" i="3"/>
  <c r="F39" i="31" s="1"/>
  <c r="G39" s="1"/>
  <c r="AO44" i="3"/>
  <c r="K39" i="31" s="1"/>
  <c r="BH24" i="3"/>
  <c r="AH19"/>
  <c r="AH16"/>
  <c r="AH17"/>
  <c r="D7" i="19"/>
  <c r="AH15" i="3"/>
  <c r="F7" i="19"/>
  <c r="W17" i="3"/>
  <c r="W18"/>
  <c r="W19"/>
  <c r="BF22" s="1"/>
  <c r="AA17"/>
  <c r="F27" i="9" s="1"/>
  <c r="G27" s="1"/>
  <c r="AA18" i="3"/>
  <c r="H27" i="9" s="1"/>
  <c r="I27" s="1"/>
  <c r="AA19" i="3"/>
  <c r="J27" i="9" s="1"/>
  <c r="K27" s="1"/>
  <c r="F40" i="31"/>
  <c r="G40" s="1"/>
  <c r="E40"/>
  <c r="J7" i="19"/>
  <c r="G6" i="9"/>
  <c r="C7" i="25" s="1"/>
  <c r="BG23" i="3"/>
  <c r="BF20"/>
  <c r="BG20"/>
  <c r="AK19"/>
  <c r="AL19" s="1"/>
  <c r="F55" i="31" s="1"/>
  <c r="E6" i="17"/>
  <c r="BG21" i="3" l="1"/>
  <c r="BG24"/>
  <c r="BG22"/>
  <c r="BG25"/>
  <c r="H40" i="31"/>
  <c r="I40" s="1"/>
  <c r="AM19" i="3"/>
  <c r="H23" i="9"/>
  <c r="I23" s="1"/>
  <c r="M11" i="20"/>
  <c r="N11" s="1"/>
  <c r="BF21" i="3"/>
  <c r="K40" i="31"/>
  <c r="J23" i="9"/>
  <c r="K23" s="1"/>
  <c r="O11" i="20"/>
  <c r="P11" s="1"/>
  <c r="F23" i="9"/>
  <c r="G23" s="1"/>
  <c r="T7" i="25" s="1"/>
  <c r="I11" i="20"/>
  <c r="J11" s="1"/>
  <c r="AS46" i="3"/>
  <c r="D5" i="22"/>
  <c r="AS52" i="3"/>
  <c r="AS47"/>
  <c r="AS29"/>
  <c r="AS41"/>
  <c r="AS51"/>
  <c r="AS36"/>
  <c r="AS50"/>
  <c r="AS34"/>
  <c r="AS38"/>
  <c r="AS21"/>
  <c r="AS32"/>
  <c r="AS49"/>
  <c r="AS25"/>
  <c r="AS33"/>
  <c r="AS28"/>
  <c r="AS37"/>
  <c r="AS58"/>
  <c r="AS20"/>
  <c r="AS48"/>
  <c r="AO17"/>
  <c r="AO18"/>
  <c r="AN19" l="1"/>
  <c r="H55" i="31" s="1"/>
  <c r="D5" i="30"/>
  <c r="AO16" i="3"/>
  <c r="I8" i="18" s="1"/>
  <c r="J8" s="1"/>
  <c r="AO19" i="3"/>
  <c r="C8" i="18" s="1"/>
  <c r="D8" s="1"/>
  <c r="AS55" i="3"/>
  <c r="AS43"/>
  <c r="AS42"/>
  <c r="AS30"/>
  <c r="AS57"/>
  <c r="AS44"/>
  <c r="AS23"/>
  <c r="AS35"/>
  <c r="AS27"/>
  <c r="AS56"/>
  <c r="AS40"/>
  <c r="AS26"/>
  <c r="AS59"/>
  <c r="AS31"/>
  <c r="AS54"/>
  <c r="AS53"/>
  <c r="AS39"/>
  <c r="AS45"/>
  <c r="AS24"/>
  <c r="AS22"/>
  <c r="G8" i="18"/>
  <c r="H8" s="1"/>
  <c r="E5" i="30"/>
  <c r="D6" i="17"/>
  <c r="E8" i="18"/>
  <c r="F8" s="1"/>
  <c r="K55" i="31" s="1"/>
  <c r="E5" i="22"/>
  <c r="AI20" i="3"/>
  <c r="AB17"/>
  <c r="F28" i="9" s="1"/>
  <c r="G28" s="1"/>
  <c r="X7" i="25" s="1"/>
  <c r="AB15" i="3"/>
  <c r="AB18"/>
  <c r="AB19"/>
  <c r="AB16"/>
  <c r="AI19" l="1"/>
  <c r="AI18" s="1"/>
  <c r="AP20" s="1"/>
  <c r="AJ20"/>
  <c r="E15" i="31" s="1"/>
  <c r="C6" i="17"/>
  <c r="J28" i="9"/>
  <c r="K28" s="1"/>
  <c r="O12" i="20"/>
  <c r="P12" s="1"/>
  <c r="F29" i="9"/>
  <c r="G29" s="1"/>
  <c r="K12" i="20"/>
  <c r="L12" s="1"/>
  <c r="F30" i="9"/>
  <c r="G30" s="1"/>
  <c r="Y7" i="25" s="1"/>
  <c r="I12" i="20"/>
  <c r="J12" s="1"/>
  <c r="H28" i="9"/>
  <c r="I28" s="1"/>
  <c r="M12" i="20"/>
  <c r="N12" s="1"/>
  <c r="AJ19" i="3" l="1"/>
  <c r="AQ37" s="1"/>
  <c r="C7" i="19"/>
  <c r="AP25" i="3"/>
  <c r="AP53"/>
  <c r="AP27"/>
  <c r="AP36"/>
  <c r="AP40"/>
  <c r="AP28"/>
  <c r="AP42"/>
  <c r="AP52"/>
  <c r="AP39"/>
  <c r="AP43"/>
  <c r="AP47"/>
  <c r="AP38"/>
  <c r="AP24"/>
  <c r="AP46"/>
  <c r="AP30"/>
  <c r="AP21"/>
  <c r="AP35"/>
  <c r="AP44"/>
  <c r="AP26"/>
  <c r="AP45"/>
  <c r="AP58"/>
  <c r="AP50"/>
  <c r="AP29"/>
  <c r="AP22"/>
  <c r="AP51"/>
  <c r="AP32"/>
  <c r="AP41"/>
  <c r="AP57"/>
  <c r="AP54"/>
  <c r="AP55"/>
  <c r="AP33"/>
  <c r="AP37"/>
  <c r="AP59"/>
  <c r="AP56"/>
  <c r="AP49"/>
  <c r="AP34"/>
  <c r="AP48"/>
  <c r="AP23"/>
  <c r="AP31"/>
  <c r="E55" i="31" l="1"/>
  <c r="AQ21" i="3"/>
  <c r="AQ38"/>
  <c r="AQ20"/>
  <c r="AQ57"/>
  <c r="AQ31"/>
  <c r="AQ36"/>
  <c r="AQ42"/>
  <c r="AQ26"/>
  <c r="AQ33"/>
  <c r="AQ27"/>
  <c r="AQ39"/>
  <c r="AQ46"/>
  <c r="AQ55"/>
  <c r="AQ59"/>
  <c r="AQ49"/>
  <c r="AQ32"/>
  <c r="AQ58"/>
  <c r="AQ45"/>
  <c r="AQ43"/>
  <c r="AQ50"/>
  <c r="B6" i="17"/>
  <c r="AQ29" i="3"/>
  <c r="AQ28"/>
  <c r="AQ48"/>
  <c r="AQ24"/>
  <c r="AQ56"/>
  <c r="AQ22"/>
  <c r="AQ25"/>
  <c r="AQ40"/>
  <c r="AQ34"/>
  <c r="AQ41"/>
  <c r="AQ23"/>
  <c r="AQ53"/>
  <c r="AQ47"/>
  <c r="AQ35"/>
  <c r="AQ54"/>
  <c r="AQ52"/>
  <c r="AQ44"/>
  <c r="AQ51"/>
  <c r="AQ30"/>
</calcChain>
</file>

<file path=xl/comments1.xml><?xml version="1.0" encoding="utf-8"?>
<comments xmlns="http://schemas.openxmlformats.org/spreadsheetml/2006/main">
  <authors>
    <author>РЦОКО</author>
  </authors>
  <commentList>
    <comment ref="A1" authorId="0">
      <text>
        <r>
          <rPr>
            <b/>
            <sz val="8"/>
            <color indexed="81"/>
            <rFont val="Tahoma"/>
            <family val="2"/>
            <charset val="204"/>
          </rPr>
          <t>РЦОКО:</t>
        </r>
      </text>
    </comment>
  </commentList>
</comments>
</file>

<file path=xl/comments2.xml><?xml version="1.0" encoding="utf-8"?>
<comments xmlns="http://schemas.openxmlformats.org/spreadsheetml/2006/main">
  <authors>
    <author>РЦОКО</author>
  </authors>
  <commentList>
    <comment ref="AE11" authorId="0">
      <text>
        <r>
          <rPr>
            <b/>
            <sz val="9"/>
            <color indexed="81"/>
            <rFont val="Tahoma"/>
            <family val="2"/>
            <charset val="204"/>
          </rPr>
          <t>РЦОКО:</t>
        </r>
        <r>
          <rPr>
            <sz val="9"/>
            <color indexed="81"/>
            <rFont val="Tahoma"/>
            <family val="2"/>
            <charset val="204"/>
          </rPr>
          <t xml:space="preserve">
Задание повышенного уровня</t>
        </r>
      </text>
    </comment>
    <comment ref="AH11" authorId="0">
      <text>
        <r>
          <rPr>
            <b/>
            <sz val="9"/>
            <color indexed="81"/>
            <rFont val="Tahoma"/>
            <family val="2"/>
            <charset val="204"/>
          </rPr>
          <t>РЦОКО:</t>
        </r>
        <r>
          <rPr>
            <sz val="9"/>
            <color indexed="81"/>
            <rFont val="Tahoma"/>
            <family val="2"/>
            <charset val="204"/>
          </rPr>
          <t xml:space="preserve">
Задание повышенного уровня</t>
        </r>
      </text>
    </comment>
    <comment ref="AO16" authorId="0">
      <text>
        <r>
          <rPr>
            <b/>
            <sz val="8"/>
            <color indexed="81"/>
            <rFont val="Tahoma"/>
            <family val="2"/>
            <charset val="204"/>
          </rPr>
          <t>РЦОКО:</t>
        </r>
        <r>
          <rPr>
            <sz val="8"/>
            <color indexed="81"/>
            <rFont val="Tahoma"/>
            <family val="2"/>
            <charset val="204"/>
          </rPr>
          <t xml:space="preserve">
высокий уровень</t>
        </r>
      </text>
    </comment>
    <comment ref="AO17" authorId="0">
      <text>
        <r>
          <rPr>
            <b/>
            <sz val="8"/>
            <color indexed="81"/>
            <rFont val="Tahoma"/>
            <family val="2"/>
            <charset val="204"/>
          </rPr>
          <t>РЦОКО:</t>
        </r>
        <r>
          <rPr>
            <sz val="8"/>
            <color indexed="81"/>
            <rFont val="Tahoma"/>
            <family val="2"/>
            <charset val="204"/>
          </rPr>
          <t xml:space="preserve">
повышенный уровень</t>
        </r>
      </text>
    </comment>
    <comment ref="AI18" authorId="0">
      <text>
        <r>
          <rPr>
            <b/>
            <sz val="8"/>
            <color indexed="81"/>
            <rFont val="Tahoma"/>
            <family val="2"/>
            <charset val="204"/>
          </rPr>
          <t>РЦОКО:</t>
        </r>
        <r>
          <rPr>
            <sz val="8"/>
            <color indexed="81"/>
            <rFont val="Tahoma"/>
            <family val="2"/>
            <charset val="204"/>
          </rPr>
          <t xml:space="preserve">
средний балл</t>
        </r>
      </text>
    </comment>
    <comment ref="AO18" authorId="0">
      <text>
        <r>
          <rPr>
            <b/>
            <sz val="8"/>
            <color indexed="81"/>
            <rFont val="Tahoma"/>
            <family val="2"/>
            <charset val="204"/>
          </rPr>
          <t>РЦОКО:</t>
        </r>
        <r>
          <rPr>
            <sz val="8"/>
            <color indexed="81"/>
            <rFont val="Tahoma"/>
            <family val="2"/>
            <charset val="204"/>
          </rPr>
          <t xml:space="preserve">
базовый уровень</t>
        </r>
      </text>
    </comment>
    <comment ref="AI19" authorId="0">
      <text>
        <r>
          <rPr>
            <b/>
            <sz val="8"/>
            <color indexed="81"/>
            <rFont val="Tahoma"/>
            <family val="2"/>
            <charset val="204"/>
          </rPr>
          <t>РЦОКО:</t>
        </r>
        <r>
          <rPr>
            <sz val="8"/>
            <color indexed="81"/>
            <rFont val="Tahoma"/>
            <family val="2"/>
            <charset val="204"/>
          </rPr>
          <t xml:space="preserve">
сумма баллов</t>
        </r>
      </text>
    </comment>
    <comment ref="AO19" authorId="0">
      <text>
        <r>
          <rPr>
            <b/>
            <sz val="8"/>
            <color indexed="81"/>
            <rFont val="Tahoma"/>
            <family val="2"/>
            <charset val="204"/>
          </rPr>
          <t>РЦОКО:</t>
        </r>
        <r>
          <rPr>
            <sz val="8"/>
            <color indexed="81"/>
            <rFont val="Tahoma"/>
            <family val="2"/>
            <charset val="204"/>
          </rPr>
          <t xml:space="preserve">
низкий уровень</t>
        </r>
      </text>
    </comment>
    <comment ref="BF20" authorId="0">
      <text>
        <r>
          <rPr>
            <b/>
            <sz val="8"/>
            <color indexed="81"/>
            <rFont val="Tahoma"/>
            <family val="2"/>
            <charset val="204"/>
          </rPr>
          <t>РЦОКО:</t>
        </r>
        <r>
          <rPr>
            <sz val="8"/>
            <color indexed="81"/>
            <rFont val="Tahoma"/>
            <family val="2"/>
            <charset val="204"/>
          </rPr>
          <t xml:space="preserve">
максимум</t>
        </r>
      </text>
    </comment>
    <comment ref="BF21" authorId="0">
      <text>
        <r>
          <rPr>
            <b/>
            <sz val="8"/>
            <color indexed="81"/>
            <rFont val="Tahoma"/>
            <family val="2"/>
            <charset val="204"/>
          </rPr>
          <t>РЦОКО:</t>
        </r>
        <r>
          <rPr>
            <sz val="8"/>
            <color indexed="81"/>
            <rFont val="Tahoma"/>
            <family val="2"/>
            <charset val="204"/>
          </rPr>
          <t xml:space="preserve">
0 баллов</t>
        </r>
      </text>
    </comment>
    <comment ref="BF22" authorId="0">
      <text>
        <r>
          <rPr>
            <b/>
            <sz val="8"/>
            <color indexed="81"/>
            <rFont val="Tahoma"/>
            <family val="2"/>
            <charset val="204"/>
          </rPr>
          <t>РЦОКО:</t>
        </r>
        <r>
          <rPr>
            <sz val="8"/>
            <color indexed="81"/>
            <rFont val="Tahoma"/>
            <family val="2"/>
            <charset val="204"/>
          </rPr>
          <t xml:space="preserve">
N</t>
        </r>
      </text>
    </comment>
  </commentList>
</comments>
</file>

<file path=xl/sharedStrings.xml><?xml version="1.0" encoding="utf-8"?>
<sst xmlns="http://schemas.openxmlformats.org/spreadsheetml/2006/main" count="1174" uniqueCount="438">
  <si>
    <t>Код школы</t>
  </si>
  <si>
    <t>Код класса</t>
  </si>
  <si>
    <t>№ п/п</t>
  </si>
  <si>
    <t>Фамилия, Имя учащегося</t>
  </si>
  <si>
    <t>(1)</t>
  </si>
  <si>
    <t>(2)</t>
  </si>
  <si>
    <t>(3)</t>
  </si>
  <si>
    <t>(4)</t>
  </si>
  <si>
    <t>Код школы:</t>
  </si>
  <si>
    <t>Код класса:</t>
  </si>
  <si>
    <t>Дата рождения (мес/год)</t>
  </si>
  <si>
    <t>Пол (ж-1; м-2)</t>
  </si>
  <si>
    <t>Дата проведения:</t>
  </si>
  <si>
    <t>Данные для всех учащихся внесены</t>
  </si>
  <si>
    <t>№ учащегося</t>
  </si>
  <si>
    <t>№ по журналу</t>
  </si>
  <si>
    <t>ИТОГОВЫЙ БАЛЛ</t>
  </si>
  <si>
    <t>Процент от максимального балла за всю работу</t>
  </si>
  <si>
    <t>(7)</t>
  </si>
  <si>
    <t>Код учащегося</t>
  </si>
  <si>
    <t>ФИО</t>
  </si>
  <si>
    <t>Nуч</t>
  </si>
  <si>
    <t>Выполнение работы</t>
  </si>
  <si>
    <t>MA1</t>
  </si>
  <si>
    <t>1. Ф.И.О. школьного координатора:</t>
  </si>
  <si>
    <t>2. Ф.И.О. лица, проводящего тестирование:</t>
  </si>
  <si>
    <t>3. Статус лица, проводящего тестирование:</t>
  </si>
  <si>
    <t>4. Дата проведения тестирования:</t>
  </si>
  <si>
    <t>5. Время проведения работы</t>
  </si>
  <si>
    <t>НАЧАЛО</t>
  </si>
  <si>
    <t>КОНЕЦ</t>
  </si>
  <si>
    <t>Организационная часть:</t>
  </si>
  <si>
    <t>Выполнение работы:</t>
  </si>
  <si>
    <t>6. Возникли ли у тестируемых какие-либо проблемы во время работы, например, задания оказались слишком трудными, не хватило времени, появилась усталость)?</t>
  </si>
  <si>
    <t>Пожалуйста, поясните:</t>
  </si>
  <si>
    <t>7. Отметьте номера вариантов и номера заданий, которые вызвали затруднения у учащихся:</t>
  </si>
  <si>
    <t>БОЛЬШОЕ СПАСИБО за ВАШУ РАБОТУ!</t>
  </si>
  <si>
    <t>Бунеев Р.Н. и др.</t>
  </si>
  <si>
    <t>Башмаков М.И. и др.</t>
  </si>
  <si>
    <t>гимназия</t>
  </si>
  <si>
    <t>Зеленина Л.М. и др.</t>
  </si>
  <si>
    <t>Ефросинина Л.А.</t>
  </si>
  <si>
    <t>Гейдман Б.П. и др.</t>
  </si>
  <si>
    <t>с углубленным изучением отдельных предметов</t>
  </si>
  <si>
    <t>Горецкий В.Г. и др.</t>
  </si>
  <si>
    <t>Иванов С.В. и др.</t>
  </si>
  <si>
    <t>Кац Э.Э.</t>
  </si>
  <si>
    <t>Давыдов В.В. и др.</t>
  </si>
  <si>
    <t>учебно-воспитательный комплекс</t>
  </si>
  <si>
    <t>Журова Л.Е. и др.</t>
  </si>
  <si>
    <t>Канапина В.П. и др.</t>
  </si>
  <si>
    <t>Климанова Л.Ф. и др.</t>
  </si>
  <si>
    <t>Демидова Т.Е. и др</t>
  </si>
  <si>
    <t>Другой</t>
  </si>
  <si>
    <t>Кубасов О.В.</t>
  </si>
  <si>
    <t>Ломакович С.В. и др.</t>
  </si>
  <si>
    <t>Кубасов О.В. (УМК "Гармония")</t>
  </si>
  <si>
    <t xml:space="preserve">Истомина Н.Б. </t>
  </si>
  <si>
    <t>Нечаева Н.В. и др.</t>
  </si>
  <si>
    <t>Полякова А.В.</t>
  </si>
  <si>
    <t>Кубасов О.В. (серия "Для сердца и ума")</t>
  </si>
  <si>
    <t>Моро М.И. и др.</t>
  </si>
  <si>
    <t>Репкин В.В. и др.</t>
  </si>
  <si>
    <t>Рамзаева Т.Г.</t>
  </si>
  <si>
    <t>Кудина Г.Н. и др.</t>
  </si>
  <si>
    <t>АНКЕТА ДЛЯ УЧИТЕЛЯ</t>
  </si>
  <si>
    <t>Код учителя</t>
  </si>
  <si>
    <t>1. Тип школы</t>
  </si>
  <si>
    <t>2. Вид школы</t>
  </si>
  <si>
    <t>3. Продолжительность урока</t>
  </si>
  <si>
    <t>минут</t>
  </si>
  <si>
    <t>4. Число учащихся в классе</t>
  </si>
  <si>
    <t>лет</t>
  </si>
  <si>
    <t>СПАСИБО ЗА ОТВЕТЫ!</t>
  </si>
  <si>
    <t>7. Ваш возраст</t>
  </si>
  <si>
    <t>9. Ваш стаж</t>
  </si>
  <si>
    <t>СПИСОК КЛАССА</t>
  </si>
  <si>
    <t>8. Ваша категория</t>
  </si>
  <si>
    <t>Уровень сложности</t>
  </si>
  <si>
    <t>Выполнили верно</t>
  </si>
  <si>
    <t>Выполнили неверно</t>
  </si>
  <si>
    <t>чел.</t>
  </si>
  <si>
    <t>%</t>
  </si>
  <si>
    <t>Б</t>
  </si>
  <si>
    <t>№ задания</t>
  </si>
  <si>
    <t>Максимальный балл за выполнение</t>
  </si>
  <si>
    <t>П</t>
  </si>
  <si>
    <t>ОУ:</t>
  </si>
  <si>
    <t>ID класса:</t>
  </si>
  <si>
    <t>Проверяемое содержание</t>
  </si>
  <si>
    <t>Не приступили к выполнению</t>
  </si>
  <si>
    <t>2 балла</t>
  </si>
  <si>
    <t>1 балл</t>
  </si>
  <si>
    <t>Успешность выполнения работы (средний % от максимального балла за всю работу)</t>
  </si>
  <si>
    <t>Класс</t>
  </si>
  <si>
    <t>Уровень достижений</t>
  </si>
  <si>
    <t>общеобразовательная</t>
  </si>
  <si>
    <t>лицей</t>
  </si>
  <si>
    <t>интернат</t>
  </si>
  <si>
    <t>Александрова Э.И. (Вита-пресс)</t>
  </si>
  <si>
    <t>Александрова Э.И. (Дрофа)</t>
  </si>
  <si>
    <t>Аргинская И.И., Ивановская Е.И., Кормишина С.Н. (Федоров)</t>
  </si>
  <si>
    <t>Башмаков М.И., Нефедова М.Г. (АСТ. Астрель)</t>
  </si>
  <si>
    <t>Гейдман Б.П., Мишарина И.Э., Зверева Е.А. (МЦНМО)</t>
  </si>
  <si>
    <t>Давыдов В.В., Горбов С.Ф., Микулина Г.Г. (Вита-пресс)</t>
  </si>
  <si>
    <t>Демидова Т.Е., Козлова С.А., Тонких А.П. (Баласс)</t>
  </si>
  <si>
    <t>Дорофеев Г.В., Миракова Т.Н. (Просвещение)</t>
  </si>
  <si>
    <t>Истомина Н.Б. (Ассоциация XXI век)</t>
  </si>
  <si>
    <t>Моро М.И., Бантова М.А., Бельтюкова Г.В. (Просвещение) и др.</t>
  </si>
  <si>
    <t>Петерсон Л.Г. (Ювента)</t>
  </si>
  <si>
    <t>Рудницкая В.Н., Юдачева Т.В. (ВЕНТАНА-ГРАФ)</t>
  </si>
  <si>
    <t>Чекин А.Л. (Академкнига/Учебник)</t>
  </si>
  <si>
    <t xml:space="preserve">Другой </t>
  </si>
  <si>
    <r>
      <t xml:space="preserve">Кол-во </t>
    </r>
    <r>
      <rPr>
        <b/>
        <u/>
        <sz val="10"/>
        <rFont val="Cambria"/>
        <family val="1"/>
        <charset val="204"/>
      </rPr>
      <t xml:space="preserve">баллов </t>
    </r>
    <r>
      <rPr>
        <b/>
        <sz val="10"/>
        <rFont val="Cambria"/>
        <family val="1"/>
        <charset val="204"/>
      </rPr>
      <t>за задания повышенного уровня</t>
    </r>
  </si>
  <si>
    <t>Вариант 1, 2</t>
  </si>
  <si>
    <t>Количества участников</t>
  </si>
  <si>
    <t>Базовый</t>
  </si>
  <si>
    <t>Повышенный</t>
  </si>
  <si>
    <t>Высокий</t>
  </si>
  <si>
    <t>Низкий</t>
  </si>
  <si>
    <t>Процент участников, показавших уровень освоения учебного материала:</t>
  </si>
  <si>
    <t>Номер задания (БУ)</t>
  </si>
  <si>
    <t>Номер задания (ПУ)</t>
  </si>
  <si>
    <t>№ элемента</t>
  </si>
  <si>
    <t>0 баллов</t>
  </si>
  <si>
    <t>не приступали</t>
  </si>
  <si>
    <t>доля</t>
  </si>
  <si>
    <r>
      <t xml:space="preserve">Процент от </t>
    </r>
    <r>
      <rPr>
        <b/>
        <u/>
        <sz val="10"/>
        <rFont val="Cambria"/>
        <family val="1"/>
        <charset val="204"/>
      </rPr>
      <t>максимального балла</t>
    </r>
    <r>
      <rPr>
        <b/>
        <sz val="10"/>
        <rFont val="Cambria"/>
        <family val="1"/>
        <charset val="204"/>
      </rPr>
      <t xml:space="preserve"> за выполнение заданий повышенного уровня</t>
    </r>
  </si>
  <si>
    <r>
      <t xml:space="preserve">Процент выполнения </t>
    </r>
    <r>
      <rPr>
        <b/>
        <u/>
        <sz val="10"/>
        <rFont val="Cambria"/>
        <family val="1"/>
        <charset val="204"/>
      </rPr>
      <t>заданий</t>
    </r>
    <r>
      <rPr>
        <b/>
        <sz val="10"/>
        <rFont val="Cambria"/>
        <family val="1"/>
        <charset val="204"/>
      </rPr>
      <t xml:space="preserve"> базового уровня</t>
    </r>
  </si>
  <si>
    <t>Выполняло работу:</t>
  </si>
  <si>
    <t>Выполняло работу</t>
  </si>
  <si>
    <t>N</t>
  </si>
  <si>
    <t>Название образовательной организации:</t>
  </si>
  <si>
    <t>(5)</t>
  </si>
  <si>
    <t>(6а)</t>
  </si>
  <si>
    <t>(6б)</t>
  </si>
  <si>
    <t>(8)</t>
  </si>
  <si>
    <t>Учащихся в классе:</t>
  </si>
  <si>
    <r>
      <t>Название образовательной организации:</t>
    </r>
    <r>
      <rPr>
        <sz val="11"/>
        <rFont val="Cambria"/>
        <family val="1"/>
        <charset val="204"/>
      </rPr>
      <t xml:space="preserve"> </t>
    </r>
  </si>
  <si>
    <t>ВАРИАНТ</t>
  </si>
  <si>
    <t>НОМЕР ЗАДАНИЯ</t>
  </si>
  <si>
    <t>24 сентября</t>
  </si>
  <si>
    <t>8. Выскажите, пожалуйста, свои предложения по совершенствованию  материалов:</t>
  </si>
  <si>
    <r>
      <t xml:space="preserve">Кол-во </t>
    </r>
    <r>
      <rPr>
        <b/>
        <u/>
        <sz val="10"/>
        <rFont val="Cambria"/>
        <family val="1"/>
        <charset val="204"/>
      </rPr>
      <t>балов</t>
    </r>
    <r>
      <rPr>
        <b/>
        <sz val="10"/>
        <rFont val="Cambria"/>
        <family val="1"/>
        <charset val="204"/>
      </rPr>
      <t xml:space="preserve"> за задания</t>
    </r>
    <r>
      <rPr>
        <b/>
        <u/>
        <sz val="10"/>
        <rFont val="Cambria"/>
        <family val="1"/>
        <charset val="204"/>
      </rPr>
      <t xml:space="preserve"> </t>
    </r>
    <r>
      <rPr>
        <b/>
        <sz val="10"/>
        <rFont val="Cambria"/>
        <family val="1"/>
        <charset val="204"/>
      </rPr>
      <t>базового уровня</t>
    </r>
  </si>
  <si>
    <t>Проверяемые элементы содержания</t>
  </si>
  <si>
    <t>Код проверяемых умений</t>
  </si>
  <si>
    <t>3 балла</t>
  </si>
  <si>
    <t>Не достигли базового уровня  (% учащихся, не достигших базового уровня)</t>
  </si>
  <si>
    <t>Достигли базового уровня  (% учащихся, достигших базового уровня)</t>
  </si>
  <si>
    <t>Критическое значение достижения базового уровня (выполнили 7  заданий базового уровня)</t>
  </si>
  <si>
    <t>Выполнили не более 6 заданий базового уровня</t>
  </si>
  <si>
    <t>Перспективное значение достижения базового уровня (выполнили более 16 заданий базового уровня)</t>
  </si>
  <si>
    <t>кол-во чел.</t>
  </si>
  <si>
    <t>процент</t>
  </si>
  <si>
    <t>Общее количество баллов за задания базового уровня</t>
  </si>
  <si>
    <t>Среднее количество баллов за задания базового уровня</t>
  </si>
  <si>
    <t>Процент выполнения заданий базового уровня</t>
  </si>
  <si>
    <t>Номер задания</t>
  </si>
  <si>
    <t>Кол-во учащихся полностью выполнивших задание</t>
  </si>
  <si>
    <t>Доля учащихся полностьювы полнивших задание</t>
  </si>
  <si>
    <t>Максимальный балл</t>
  </si>
  <si>
    <t>13_1</t>
  </si>
  <si>
    <t>13_2</t>
  </si>
  <si>
    <t>14_1</t>
  </si>
  <si>
    <t>14_2</t>
  </si>
  <si>
    <t>15_1</t>
  </si>
  <si>
    <t>15_2</t>
  </si>
  <si>
    <t>частично</t>
  </si>
  <si>
    <t>10_1</t>
  </si>
  <si>
    <t>10_2</t>
  </si>
  <si>
    <t>Задания выполнены полностью</t>
  </si>
  <si>
    <t>Задания не выполнены</t>
  </si>
  <si>
    <t>Задания выполнены</t>
  </si>
  <si>
    <t>max баллов</t>
  </si>
  <si>
    <t>11_1</t>
  </si>
  <si>
    <t>11_2</t>
  </si>
  <si>
    <t>12_1</t>
  </si>
  <si>
    <t>12_2</t>
  </si>
  <si>
    <t>частично или 0 баллов</t>
  </si>
  <si>
    <t>Ожидаемая решаемость</t>
  </si>
  <si>
    <t>60-90%</t>
  </si>
  <si>
    <t>40-60%</t>
  </si>
  <si>
    <t>Доля учащихся, справившихся с заданием полностью</t>
  </si>
  <si>
    <t>Результаты выполнения заданий базового уровня (набрали максимальный балл)</t>
  </si>
  <si>
    <t>Количество учащихся в классе по журналу</t>
  </si>
  <si>
    <t xml:space="preserve">3 балла </t>
  </si>
  <si>
    <t>4</t>
  </si>
  <si>
    <t>5</t>
  </si>
  <si>
    <t>3</t>
  </si>
  <si>
    <t>11</t>
  </si>
  <si>
    <t>Итоговая отметка за 4 класс по английскому языку</t>
  </si>
  <si>
    <t>5. Количество уроков английского языка в неделю</t>
  </si>
  <si>
    <t>6. Укажите автора учебника английского языка, по которому Вы работаете в этом учебном году</t>
  </si>
  <si>
    <t>ЧАСТЬ А</t>
  </si>
  <si>
    <t>ЧАСТЬ В</t>
  </si>
  <si>
    <t>ЧАСТЬ С</t>
  </si>
  <si>
    <t>Понимание основного содержания прочитанного текста</t>
  </si>
  <si>
    <t>3.1</t>
  </si>
  <si>
    <t>Понимание в прочитанном тексте запрашиваемой информации</t>
  </si>
  <si>
    <t>3.2</t>
  </si>
  <si>
    <t>Лексические навыки употребления слов в коммуникативно-значимом тексте</t>
  </si>
  <si>
    <t>5.2.1</t>
  </si>
  <si>
    <t>Грамматические навыки употребления нужной формы глагола в коммуникативно-значимом контексте</t>
  </si>
  <si>
    <t>5.1.15</t>
  </si>
  <si>
    <t>Письмо личного характера в ответ на письмо-стимул</t>
  </si>
  <si>
    <t>4.3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</si>
  <si>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</si>
  <si>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</si>
  <si>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</si>
  <si>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</si>
  <si>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</si>
  <si>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</si>
  <si>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</si>
  <si>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</si>
  <si>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</si>
  <si>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</si>
  <si>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</si>
  <si>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</si>
  <si>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</si>
  <si>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</si>
  <si>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</si>
  <si>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</si>
  <si>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РЕЗУЛЬТАТЫ ВЫПОЛНЕНИЯ РАБОТЫ ПО АНГЛИЙСКОМУ ЯЗЫКУ (ответы учащихся)</t>
  </si>
  <si>
    <t>РЕЗУЛЬТАТЫ ВЫПОЛНЕНИЯ РАБОТЫ ПО АНГЛИЙСКОМУ ЯЗЫКУ (результаты учащихя)</t>
  </si>
  <si>
    <t>Результаты выполнения контрольной работы по английскому языку по отдельным заданиям (5 класс, начало 2013/2014 учебного года)</t>
  </si>
  <si>
    <t>Результаты выполнения  работы по английскому языку по отдельным заданиям (5 класс, начало 2013/2014 учебного года)</t>
  </si>
  <si>
    <t>23 (К1)</t>
  </si>
  <si>
    <t>23 (К2)</t>
  </si>
  <si>
    <t>A1</t>
  </si>
  <si>
    <t>A2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</si>
  <si>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</si>
  <si>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</si>
  <si>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</si>
  <si>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</si>
  <si>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</si>
  <si>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</si>
  <si>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</si>
  <si>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</si>
  <si>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</si>
  <si>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</si>
  <si>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</si>
  <si>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</si>
  <si>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</si>
  <si>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</si>
  <si>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</si>
  <si>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</si>
  <si>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</si>
  <si>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</si>
  <si>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</si>
  <si>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</si>
  <si>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C1</t>
  </si>
  <si>
    <t>Результаты выполнения работы по английскому языку (5 класс, начало 2013/2014)</t>
  </si>
  <si>
    <t>Распределение участников по уровням подготовки по английскому языку</t>
  </si>
  <si>
    <t>А1</t>
  </si>
  <si>
    <t>В1</t>
  </si>
  <si>
    <t>В2</t>
  </si>
  <si>
    <t>В3</t>
  </si>
  <si>
    <t>В4</t>
  </si>
  <si>
    <t>В5</t>
  </si>
  <si>
    <t>В6</t>
  </si>
  <si>
    <t>В7</t>
  </si>
  <si>
    <t>В8</t>
  </si>
  <si>
    <t>В9</t>
  </si>
  <si>
    <t>В10</t>
  </si>
  <si>
    <t>Общее количество баллов за задания повышенного уровня</t>
  </si>
  <si>
    <t>Среднее количество баллов за задания повышенного уровня</t>
  </si>
  <si>
    <t>Процент выполнения заданий повышенного уровня</t>
  </si>
  <si>
    <t>Задание С1</t>
  </si>
  <si>
    <t>Выполняли работу</t>
  </si>
  <si>
    <t>А2</t>
  </si>
  <si>
    <t>В1-В10</t>
  </si>
  <si>
    <t>В11-В20</t>
  </si>
  <si>
    <t>Коммуникативные умения. Чтение.</t>
  </si>
  <si>
    <t>Грамматика и лексика.</t>
  </si>
  <si>
    <t>Письмо.</t>
  </si>
  <si>
    <t>-</t>
  </si>
  <si>
    <t>С1</t>
  </si>
  <si>
    <t>Среднее значение по классу</t>
  </si>
  <si>
    <t>Результаты оценки индивидуальных достижений учащихся по английскому языку</t>
  </si>
  <si>
    <t>Протокол проведения работы по АНГЛИЙСКОМУ ЯЗЫКУ для учащихся 5 классов (2013 год)</t>
  </si>
  <si>
    <t>Результаты выполнения работы по английскому языку (5класс, начало 2013/2014)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</si>
  <si>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</si>
  <si>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</si>
  <si>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</si>
  <si>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</si>
  <si>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</si>
  <si>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</si>
  <si>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</si>
  <si>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</si>
  <si>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</si>
  <si>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</si>
  <si>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</si>
  <si>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</si>
  <si>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137022</t>
  </si>
  <si>
    <t>МУНИЦИПАЛЬНОЕ ОБЩЕОБРАЗОВАТЕЛЬНОЕ УЧРЕЖДЕНИЕ СРЕДНЯЯ ОБЩЕОБРАЗОВАТЕЛЬНАЯ ШКОЛА № 27</t>
  </si>
  <si>
    <t>АНИКЕЕВА АНАСТАСИЯ</t>
  </si>
  <si>
    <t>БАБИЙ ЕВГЕНИЙ</t>
  </si>
  <si>
    <t>БОБЕР НАТАЛЬЯ</t>
  </si>
  <si>
    <t>БОГДАНОВА РОЗАЛИЯ</t>
  </si>
  <si>
    <t>ВАЩЕНКОВ ЕВГЕНИЙ</t>
  </si>
  <si>
    <t>ГРАЧЕВА ЯРОСЛАВА</t>
  </si>
  <si>
    <t>ДЕМИДОВ ИВАН</t>
  </si>
  <si>
    <t>ДМИТРИЕВА АРИНА</t>
  </si>
  <si>
    <t>ЖУК ВЛАДИМИР</t>
  </si>
  <si>
    <t>ЗАЛАЗНЫЙ РОМАН</t>
  </si>
  <si>
    <t>ЗВИАДАДЗЕ ЕКАТЕРИНА</t>
  </si>
  <si>
    <t>ИГНАТЬЕВ ЕВГЕНИЙ</t>
  </si>
  <si>
    <t>КАНТЕМИРОВА ПОЛИНА</t>
  </si>
  <si>
    <t>КАРПОВА АНАСТАСИЯ</t>
  </si>
  <si>
    <t>КИРЕЕВА КРИСТИНА</t>
  </si>
  <si>
    <t>КОРЯКИН СЕМЕН</t>
  </si>
  <si>
    <t>КУПРИЯНОВА ПОЛИНА</t>
  </si>
  <si>
    <t>ЛЕДЕНЕВА ВАЛЕРИЯ</t>
  </si>
  <si>
    <t>МАКАЙДА АЛЛА</t>
  </si>
  <si>
    <t>МЕДВЕДЕВ СЕРГЕЙ</t>
  </si>
  <si>
    <t>ПИМЕНОВ АРТЕМ</t>
  </si>
  <si>
    <t>ПОДЛЕДНЕВ АЛЕКСАНДР</t>
  </si>
  <si>
    <t>ПУЧКИНА ДАРЬЯ</t>
  </si>
  <si>
    <t>ПЫТЧЕНКО АЛЕКСАНДР</t>
  </si>
  <si>
    <t>РЕПП ВЛАДИСЛАВ</t>
  </si>
  <si>
    <t>РЫБКО МАТВЕЙ</t>
  </si>
  <si>
    <t>САЯПИНА АЛИСА</t>
  </si>
  <si>
    <t>СЕМЕНОВ ГРИГОРИЙ</t>
  </si>
  <si>
    <t>СЕРГАЧ ЕГОР</t>
  </si>
  <si>
    <t>01</t>
  </si>
  <si>
    <t>02</t>
  </si>
  <si>
    <t>08</t>
  </si>
  <si>
    <t>05</t>
  </si>
  <si>
    <t>04</t>
  </si>
  <si>
    <t>07</t>
  </si>
  <si>
    <t>09</t>
  </si>
  <si>
    <t>00</t>
  </si>
  <si>
    <t>03</t>
  </si>
  <si>
    <t>ГОРОВАЯ СВЕТЛАНА ВЛАДИМИРОВНА</t>
  </si>
  <si>
    <t>РЕШЕТНИКОВА ОЛЬГА ДМИТРИЕВНА</t>
  </si>
  <si>
    <t>girl</t>
  </si>
  <si>
    <t>said</t>
  </si>
  <si>
    <t>at</t>
  </si>
  <si>
    <t>morning</t>
  </si>
  <si>
    <t>much</t>
  </si>
  <si>
    <t>zoo</t>
  </si>
  <si>
    <t>like</t>
  </si>
  <si>
    <t>asked</t>
  </si>
  <si>
    <t>got</t>
  </si>
  <si>
    <t>saw</t>
  </si>
  <si>
    <t>came</t>
  </si>
  <si>
    <t>shouted</t>
  </si>
  <si>
    <t>animals</t>
  </si>
  <si>
    <t>we</t>
  </si>
  <si>
    <t>lost</t>
  </si>
  <si>
    <t>was</t>
  </si>
  <si>
    <t>knew</t>
  </si>
  <si>
    <t>broke</t>
  </si>
  <si>
    <t>rode</t>
  </si>
  <si>
    <t>took</t>
  </si>
  <si>
    <t>askt</t>
  </si>
  <si>
    <t>wen</t>
  </si>
  <si>
    <t>rided</t>
  </si>
  <si>
    <t>lots</t>
  </si>
  <si>
    <t>go</t>
  </si>
  <si>
    <t>known</t>
  </si>
  <si>
    <t>breaked</t>
  </si>
  <si>
    <t>toked</t>
  </si>
  <si>
    <t>her</t>
  </si>
  <si>
    <t>live</t>
  </si>
  <si>
    <t>sheep</t>
  </si>
  <si>
    <t>made</t>
  </si>
  <si>
    <t>get</t>
  </si>
  <si>
    <t>open</t>
  </si>
  <si>
    <t>want</t>
  </si>
  <si>
    <t>put</t>
  </si>
  <si>
    <t>years</t>
  </si>
  <si>
    <t>husband</t>
  </si>
  <si>
    <t>goes</t>
  </si>
  <si>
    <t>in</t>
  </si>
  <si>
    <t>sell</t>
  </si>
  <si>
    <t>clothes</t>
  </si>
  <si>
    <t>opened</t>
  </si>
  <si>
    <t>tried</t>
  </si>
  <si>
    <t>began</t>
  </si>
  <si>
    <t>left</t>
  </si>
  <si>
    <t>mach</t>
  </si>
  <si>
    <t>makes</t>
  </si>
  <si>
    <t>gets</t>
  </si>
  <si>
    <t>come</t>
  </si>
  <si>
    <t>trys</t>
  </si>
  <si>
    <t>see</t>
  </si>
  <si>
    <t>waite</t>
  </si>
  <si>
    <t>begins</t>
  </si>
  <si>
    <t>leaves</t>
  </si>
  <si>
    <t>loset</t>
  </si>
  <si>
    <t>went</t>
  </si>
  <si>
    <t>opens</t>
  </si>
  <si>
    <t>tru</t>
  </si>
  <si>
    <t>soo</t>
  </si>
  <si>
    <t>begen</t>
  </si>
  <si>
    <t>maked</t>
  </si>
  <si>
    <t>tree</t>
  </si>
  <si>
    <t>say</t>
  </si>
  <si>
    <t>good</t>
  </si>
  <si>
    <t>meke</t>
  </si>
  <si>
    <t>opan</t>
  </si>
  <si>
    <t>try</t>
  </si>
  <si>
    <t>sae</t>
  </si>
  <si>
    <t>did</t>
  </si>
  <si>
    <t>tre</t>
  </si>
  <si>
    <t>soy</t>
  </si>
  <si>
    <t>ga</t>
  </si>
  <si>
    <t>leve</t>
  </si>
  <si>
    <t>losed</t>
  </si>
  <si>
    <t>wos</t>
  </si>
  <si>
    <t>breek</t>
  </si>
  <si>
    <t>mush</t>
  </si>
  <si>
    <t>cume</t>
  </si>
  <si>
    <t>tri</t>
  </si>
  <si>
    <t>sez</t>
  </si>
  <si>
    <t>vent</t>
  </si>
  <si>
    <t>begun</t>
  </si>
  <si>
    <t>got came</t>
  </si>
  <si>
    <t>begin</t>
  </si>
  <si>
    <t>lived</t>
  </si>
  <si>
    <t>asks</t>
  </si>
  <si>
    <t>ride</t>
  </si>
  <si>
    <t>take</t>
  </si>
  <si>
    <t>brook</t>
  </si>
  <si>
    <t>brod</t>
  </si>
  <si>
    <t>trued</t>
  </si>
  <si>
    <t>bagin</t>
  </si>
  <si>
    <t>leaved</t>
  </si>
  <si>
    <t>ДА</t>
  </si>
  <si>
    <t>Учитель (не работающий с тестируемыми)</t>
  </si>
  <si>
    <t>средняя</t>
  </si>
  <si>
    <t>Кауфман К.И., Кауфман М.Ю.</t>
  </si>
  <si>
    <t>comed</t>
  </si>
  <si>
    <t xml:space="preserve">лексика в заданиях базового уровня В1-В10 не изучается в начальной школе по УМК М.З.Биболетовой </t>
  </si>
  <si>
    <t>Вариант 1, 2; В1-В10</t>
  </si>
  <si>
    <t>Соблюдать преемственность при составлении заданий</t>
  </si>
  <si>
    <t>Первая</t>
  </si>
</sst>
</file>

<file path=xl/styles.xml><?xml version="1.0" encoding="utf-8"?>
<styleSheet xmlns="http://schemas.openxmlformats.org/spreadsheetml/2006/main">
  <numFmts count="4">
    <numFmt numFmtId="164" formatCode="dd/mm/yy"/>
    <numFmt numFmtId="165" formatCode="0.0%"/>
    <numFmt numFmtId="166" formatCode="0.0"/>
    <numFmt numFmtId="167" formatCode="[$-FC19]dd\ mmmm\ yyyy\ \г\.;@"/>
  </numFmts>
  <fonts count="49">
    <font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b/>
      <i/>
      <sz val="12"/>
      <name val="Times New Roman"/>
      <family val="1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sz val="12"/>
      <name val="Arial Cyr"/>
      <family val="2"/>
      <charset val="204"/>
    </font>
    <font>
      <b/>
      <sz val="16"/>
      <name val="Arial Cyr"/>
      <family val="2"/>
      <charset val="204"/>
    </font>
    <font>
      <sz val="16"/>
      <name val="Arial Cyr"/>
      <family val="2"/>
      <charset val="204"/>
    </font>
    <font>
      <i/>
      <sz val="9"/>
      <name val="Arial Cyr"/>
      <family val="2"/>
      <charset val="204"/>
    </font>
    <font>
      <sz val="11"/>
      <name val="Cambria"/>
      <family val="1"/>
      <charset val="204"/>
    </font>
    <font>
      <b/>
      <sz val="10"/>
      <name val="Cambria"/>
      <family val="1"/>
      <charset val="204"/>
    </font>
    <font>
      <b/>
      <u/>
      <sz val="10"/>
      <name val="Cambria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2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8"/>
      <name val="Cambria"/>
      <family val="1"/>
      <charset val="204"/>
      <scheme val="major"/>
    </font>
    <font>
      <sz val="8"/>
      <name val="Cambria"/>
      <family val="1"/>
      <charset val="204"/>
      <scheme val="major"/>
    </font>
    <font>
      <b/>
      <i/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0"/>
      <color theme="0"/>
      <name val="Arial Cyr"/>
      <charset val="204"/>
    </font>
    <font>
      <sz val="12"/>
      <name val="Cambria"/>
      <family val="1"/>
      <charset val="204"/>
      <scheme val="major"/>
    </font>
    <font>
      <b/>
      <i/>
      <sz val="14"/>
      <color theme="1"/>
      <name val="Cambria"/>
      <family val="1"/>
      <charset val="204"/>
      <scheme val="major"/>
    </font>
    <font>
      <sz val="10"/>
      <color theme="0"/>
      <name val="Arial Cyr"/>
      <family val="2"/>
      <charset val="204"/>
    </font>
    <font>
      <sz val="10"/>
      <color rgb="FFFF0000"/>
      <name val="Arial Cyr"/>
      <charset val="204"/>
    </font>
    <font>
      <b/>
      <sz val="10"/>
      <color rgb="FFFF0000"/>
      <name val="Cambria"/>
      <family val="1"/>
      <charset val="204"/>
      <scheme val="major"/>
    </font>
    <font>
      <sz val="10"/>
      <color rgb="FFFF0000"/>
      <name val="Cambria"/>
      <family val="1"/>
      <charset val="204"/>
      <scheme val="major"/>
    </font>
    <font>
      <b/>
      <sz val="10"/>
      <color rgb="FFFF0000"/>
      <name val="Arial Cyr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9" fontId="1" fillId="0" borderId="0" applyFont="0" applyFill="0" applyBorder="0" applyAlignment="0" applyProtection="0"/>
  </cellStyleXfs>
  <cellXfs count="692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Border="1" applyProtection="1">
      <protection hidden="1"/>
    </xf>
    <xf numFmtId="49" fontId="0" fillId="0" borderId="0" xfId="0" applyNumberFormat="1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wrapText="1"/>
      <protection hidden="1"/>
    </xf>
    <xf numFmtId="0" fontId="3" fillId="0" borderId="0" xfId="0" applyFont="1" applyFill="1" applyBorder="1" applyAlignment="1" applyProtection="1">
      <alignment horizontal="left" wrapText="1"/>
      <protection hidden="1"/>
    </xf>
    <xf numFmtId="0" fontId="8" fillId="0" borderId="0" xfId="0" applyFont="1"/>
    <xf numFmtId="0" fontId="7" fillId="0" borderId="1" xfId="0" applyFont="1" applyBorder="1" applyProtection="1">
      <protection hidden="1"/>
    </xf>
    <xf numFmtId="0" fontId="7" fillId="0" borderId="2" xfId="0" applyFont="1" applyBorder="1" applyProtection="1">
      <protection hidden="1"/>
    </xf>
    <xf numFmtId="0" fontId="0" fillId="0" borderId="2" xfId="0" applyBorder="1" applyProtection="1">
      <protection hidden="1"/>
    </xf>
    <xf numFmtId="0" fontId="2" fillId="0" borderId="0" xfId="0" applyFont="1" applyFill="1" applyBorder="1" applyAlignment="1" applyProtection="1">
      <alignment horizontal="right" wrapText="1"/>
      <protection hidden="1"/>
    </xf>
    <xf numFmtId="0" fontId="0" fillId="0" borderId="0" xfId="0" applyProtection="1">
      <protection locked="0" hidden="1"/>
    </xf>
    <xf numFmtId="0" fontId="0" fillId="0" borderId="0" xfId="0" applyBorder="1" applyAlignment="1" applyProtection="1">
      <alignment horizontal="left" wrapText="1"/>
      <protection locked="0"/>
    </xf>
    <xf numFmtId="0" fontId="0" fillId="2" borderId="0" xfId="0" applyFill="1" applyBorder="1" applyAlignment="1"/>
    <xf numFmtId="0" fontId="0" fillId="0" borderId="0" xfId="0" applyBorder="1" applyAlignment="1">
      <alignment horizontal="left" wrapText="1"/>
    </xf>
    <xf numFmtId="0" fontId="9" fillId="2" borderId="0" xfId="0" applyFont="1" applyFill="1" applyAlignment="1">
      <alignment horizontal="right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/>
    <xf numFmtId="0" fontId="5" fillId="2" borderId="0" xfId="0" applyFont="1" applyFill="1"/>
    <xf numFmtId="0" fontId="5" fillId="2" borderId="2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4" xfId="0" applyFill="1" applyBorder="1"/>
    <xf numFmtId="0" fontId="5" fillId="3" borderId="2" xfId="0" applyFont="1" applyFill="1" applyBorder="1"/>
    <xf numFmtId="49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/>
    <xf numFmtId="0" fontId="0" fillId="2" borderId="0" xfId="0" applyFill="1" applyBorder="1" applyAlignment="1">
      <alignment horizontal="center" vertical="center"/>
    </xf>
    <xf numFmtId="0" fontId="0" fillId="2" borderId="4" xfId="0" applyFill="1" applyBorder="1" applyAlignment="1"/>
    <xf numFmtId="0" fontId="0" fillId="0" borderId="0" xfId="0" applyBorder="1" applyAlignment="1"/>
    <xf numFmtId="0" fontId="0" fillId="0" borderId="0" xfId="0" applyAlignment="1"/>
    <xf numFmtId="0" fontId="5" fillId="0" borderId="0" xfId="0" applyFont="1"/>
    <xf numFmtId="0" fontId="5" fillId="2" borderId="2" xfId="0" applyFont="1" applyFill="1" applyBorder="1" applyAlignment="1">
      <alignment horizontal="right"/>
    </xf>
    <xf numFmtId="20" fontId="0" fillId="2" borderId="3" xfId="0" applyNumberFormat="1" applyFill="1" applyBorder="1" applyAlignment="1" applyProtection="1">
      <alignment horizontal="center"/>
      <protection locked="0"/>
    </xf>
    <xf numFmtId="0" fontId="5" fillId="2" borderId="0" xfId="0" applyFont="1" applyFill="1" applyBorder="1"/>
    <xf numFmtId="0" fontId="5" fillId="2" borderId="2" xfId="0" applyFont="1" applyFill="1" applyBorder="1" applyAlignment="1">
      <alignment wrapText="1"/>
    </xf>
    <xf numFmtId="0" fontId="0" fillId="2" borderId="0" xfId="0" applyFill="1" applyAlignment="1"/>
    <xf numFmtId="0" fontId="0" fillId="2" borderId="3" xfId="0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right" vertical="center"/>
    </xf>
    <xf numFmtId="0" fontId="15" fillId="2" borderId="0" xfId="0" applyFont="1" applyFill="1" applyBorder="1"/>
    <xf numFmtId="49" fontId="0" fillId="2" borderId="0" xfId="0" applyNumberFormat="1" applyFill="1" applyBorder="1" applyAlignment="1">
      <alignment horizontal="center"/>
    </xf>
    <xf numFmtId="0" fontId="5" fillId="3" borderId="5" xfId="0" applyFont="1" applyFill="1" applyBorder="1"/>
    <xf numFmtId="49" fontId="0" fillId="3" borderId="6" xfId="0" applyNumberFormat="1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10" fillId="0" borderId="0" xfId="1"/>
    <xf numFmtId="165" fontId="26" fillId="0" borderId="8" xfId="1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9" fillId="2" borderId="0" xfId="0" applyFont="1" applyFill="1" applyBorder="1" applyAlignment="1">
      <alignment horizontal="right"/>
    </xf>
    <xf numFmtId="165" fontId="0" fillId="0" borderId="0" xfId="2" applyNumberFormat="1" applyFont="1"/>
    <xf numFmtId="0" fontId="28" fillId="0" borderId="0" xfId="0" applyFont="1" applyBorder="1" applyProtection="1"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0" fontId="29" fillId="0" borderId="0" xfId="0" applyFont="1" applyFill="1" applyBorder="1" applyAlignment="1" applyProtection="1">
      <alignment horizontal="right" vertical="center" wrapText="1"/>
    </xf>
    <xf numFmtId="49" fontId="2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Protection="1">
      <protection hidden="1"/>
    </xf>
    <xf numFmtId="0" fontId="30" fillId="0" borderId="0" xfId="0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Border="1" applyAlignment="1" applyProtection="1">
      <protection hidden="1"/>
    </xf>
    <xf numFmtId="0" fontId="31" fillId="0" borderId="0" xfId="0" applyFont="1" applyFill="1" applyBorder="1" applyAlignment="1" applyProtection="1">
      <alignment horizontal="center" vertical="center" wrapText="1"/>
      <protection hidden="1"/>
    </xf>
    <xf numFmtId="0" fontId="31" fillId="0" borderId="0" xfId="0" applyFont="1" applyFill="1" applyBorder="1" applyAlignment="1" applyProtection="1">
      <alignment horizontal="left" wrapText="1"/>
      <protection hidden="1"/>
    </xf>
    <xf numFmtId="0" fontId="32" fillId="0" borderId="0" xfId="0" applyFont="1" applyBorder="1" applyProtection="1">
      <protection hidden="1"/>
    </xf>
    <xf numFmtId="0" fontId="32" fillId="0" borderId="0" xfId="0" applyFont="1" applyBorder="1" applyAlignment="1" applyProtection="1">
      <alignment horizontal="center" vertical="center"/>
      <protection hidden="1"/>
    </xf>
    <xf numFmtId="0" fontId="31" fillId="0" borderId="0" xfId="0" applyFont="1" applyFill="1" applyBorder="1" applyAlignment="1" applyProtection="1">
      <alignment horizontal="right"/>
      <protection hidden="1"/>
    </xf>
    <xf numFmtId="0" fontId="28" fillId="0" borderId="0" xfId="0" applyFont="1" applyFill="1" applyBorder="1" applyAlignment="1" applyProtection="1">
      <alignment horizontal="center"/>
      <protection locked="0" hidden="1"/>
    </xf>
    <xf numFmtId="49" fontId="33" fillId="0" borderId="9" xfId="0" applyNumberFormat="1" applyFont="1" applyFill="1" applyBorder="1" applyAlignment="1" applyProtection="1">
      <alignment horizontal="center"/>
      <protection hidden="1"/>
    </xf>
    <xf numFmtId="49" fontId="33" fillId="0" borderId="0" xfId="0" applyNumberFormat="1" applyFont="1" applyFill="1" applyBorder="1" applyAlignment="1" applyProtection="1">
      <alignment horizontal="center" vertical="center"/>
      <protection hidden="1"/>
    </xf>
    <xf numFmtId="49" fontId="33" fillId="0" borderId="10" xfId="0" applyNumberFormat="1" applyFont="1" applyFill="1" applyBorder="1" applyAlignment="1" applyProtection="1">
      <alignment horizontal="center"/>
      <protection hidden="1"/>
    </xf>
    <xf numFmtId="49" fontId="33" fillId="0" borderId="11" xfId="0" applyNumberFormat="1" applyFont="1" applyFill="1" applyBorder="1" applyAlignment="1" applyProtection="1">
      <alignment horizontal="center"/>
      <protection hidden="1"/>
    </xf>
    <xf numFmtId="49" fontId="33" fillId="0" borderId="8" xfId="0" applyNumberFormat="1" applyFont="1" applyFill="1" applyBorder="1" applyAlignment="1" applyProtection="1">
      <alignment horizontal="center"/>
      <protection locked="0" hidden="1"/>
    </xf>
    <xf numFmtId="0" fontId="28" fillId="4" borderId="12" xfId="0" applyFont="1" applyFill="1" applyBorder="1" applyAlignment="1" applyProtection="1">
      <alignment horizontal="center" vertical="center"/>
      <protection hidden="1"/>
    </xf>
    <xf numFmtId="0" fontId="28" fillId="4" borderId="13" xfId="0" applyFont="1" applyFill="1" applyBorder="1" applyAlignment="1" applyProtection="1">
      <alignment horizontal="center" vertical="center"/>
      <protection hidden="1"/>
    </xf>
    <xf numFmtId="0" fontId="28" fillId="4" borderId="13" xfId="0" applyFont="1" applyFill="1" applyBorder="1" applyAlignment="1" applyProtection="1">
      <alignment horizontal="center" vertical="center" wrapText="1"/>
      <protection hidden="1"/>
    </xf>
    <xf numFmtId="0" fontId="28" fillId="4" borderId="14" xfId="0" applyFont="1" applyFill="1" applyBorder="1" applyAlignment="1" applyProtection="1">
      <alignment horizontal="center" vertical="center"/>
      <protection hidden="1"/>
    </xf>
    <xf numFmtId="0" fontId="28" fillId="0" borderId="8" xfId="0" applyFont="1" applyBorder="1" applyAlignment="1" applyProtection="1">
      <alignment horizontal="center"/>
      <protection hidden="1"/>
    </xf>
    <xf numFmtId="0" fontId="28" fillId="0" borderId="8" xfId="0" applyFont="1" applyBorder="1" applyAlignment="1" applyProtection="1">
      <alignment horizontal="center" vertical="center"/>
      <protection locked="0" hidden="1"/>
    </xf>
    <xf numFmtId="0" fontId="28" fillId="0" borderId="8" xfId="0" applyNumberFormat="1" applyFont="1" applyBorder="1" applyProtection="1">
      <protection locked="0"/>
    </xf>
    <xf numFmtId="0" fontId="28" fillId="0" borderId="8" xfId="0" applyNumberFormat="1" applyFont="1" applyBorder="1" applyAlignment="1" applyProtection="1">
      <alignment horizontal="center"/>
      <protection hidden="1"/>
    </xf>
    <xf numFmtId="0" fontId="28" fillId="0" borderId="8" xfId="0" applyNumberFormat="1" applyFont="1" applyBorder="1" applyAlignment="1" applyProtection="1">
      <alignment horizontal="center"/>
      <protection locked="0"/>
    </xf>
    <xf numFmtId="49" fontId="28" fillId="0" borderId="8" xfId="0" applyNumberFormat="1" applyFont="1" applyBorder="1" applyAlignment="1" applyProtection="1">
      <alignment horizontal="center"/>
      <protection locked="0"/>
    </xf>
    <xf numFmtId="49" fontId="28" fillId="2" borderId="8" xfId="0" applyNumberFormat="1" applyFont="1" applyFill="1" applyBorder="1" applyAlignment="1" applyProtection="1">
      <alignment horizontal="center"/>
      <protection locked="0"/>
    </xf>
    <xf numFmtId="0" fontId="28" fillId="0" borderId="8" xfId="0" applyNumberFormat="1" applyFont="1" applyBorder="1" applyAlignment="1" applyProtection="1">
      <alignment horizontal="center" vertical="center"/>
      <protection locked="0"/>
    </xf>
    <xf numFmtId="0" fontId="28" fillId="2" borderId="0" xfId="0" applyFont="1" applyFill="1" applyProtection="1">
      <protection hidden="1"/>
    </xf>
    <xf numFmtId="0" fontId="28" fillId="2" borderId="0" xfId="0" applyFont="1" applyFill="1" applyAlignment="1" applyProtection="1">
      <protection hidden="1"/>
    </xf>
    <xf numFmtId="0" fontId="34" fillId="2" borderId="0" xfId="0" applyFont="1" applyFill="1" applyBorder="1" applyAlignment="1" applyProtection="1">
      <alignment horizontal="center" vertical="center" wrapText="1"/>
      <protection hidden="1"/>
    </xf>
    <xf numFmtId="0" fontId="30" fillId="2" borderId="0" xfId="0" applyFont="1" applyFill="1" applyBorder="1" applyAlignment="1" applyProtection="1">
      <protection hidden="1"/>
    </xf>
    <xf numFmtId="0" fontId="28" fillId="2" borderId="0" xfId="0" applyFont="1" applyFill="1" applyBorder="1" applyAlignment="1" applyProtection="1">
      <protection hidden="1"/>
    </xf>
    <xf numFmtId="0" fontId="28" fillId="2" borderId="0" xfId="0" applyFont="1" applyFill="1" applyAlignment="1" applyProtection="1">
      <alignment wrapText="1"/>
      <protection hidden="1"/>
    </xf>
    <xf numFmtId="0" fontId="28" fillId="2" borderId="0" xfId="0" applyFont="1" applyFill="1" applyBorder="1" applyAlignment="1" applyProtection="1">
      <alignment wrapText="1"/>
      <protection hidden="1"/>
    </xf>
    <xf numFmtId="0" fontId="31" fillId="2" borderId="0" xfId="0" applyFont="1" applyFill="1" applyBorder="1" applyAlignment="1" applyProtection="1">
      <alignment horizontal="left" wrapText="1"/>
      <protection hidden="1"/>
    </xf>
    <xf numFmtId="0" fontId="31" fillId="2" borderId="0" xfId="0" applyFont="1" applyFill="1" applyBorder="1" applyAlignment="1" applyProtection="1">
      <alignment horizontal="right"/>
      <protection hidden="1"/>
    </xf>
    <xf numFmtId="0" fontId="33" fillId="2" borderId="6" xfId="0" applyFont="1" applyFill="1" applyBorder="1" applyAlignment="1" applyProtection="1">
      <alignment horizontal="center"/>
      <protection hidden="1"/>
    </xf>
    <xf numFmtId="0" fontId="35" fillId="2" borderId="0" xfId="0" applyFont="1" applyFill="1" applyBorder="1" applyAlignment="1" applyProtection="1">
      <protection hidden="1"/>
    </xf>
    <xf numFmtId="0" fontId="28" fillId="2" borderId="8" xfId="0" applyNumberFormat="1" applyFont="1" applyFill="1" applyBorder="1" applyAlignment="1" applyProtection="1">
      <alignment horizontal="center" vertical="center" wrapText="1"/>
      <protection locked="0" hidden="1"/>
    </xf>
    <xf numFmtId="0" fontId="27" fillId="0" borderId="0" xfId="1" applyFont="1" applyBorder="1" applyAlignment="1">
      <alignment horizontal="right" vertical="center"/>
    </xf>
    <xf numFmtId="49" fontId="36" fillId="0" borderId="0" xfId="1" applyNumberFormat="1" applyFont="1" applyBorder="1" applyAlignment="1">
      <alignment vertical="center" wrapText="1"/>
    </xf>
    <xf numFmtId="0" fontId="28" fillId="0" borderId="0" xfId="0" applyFont="1" applyFill="1" applyBorder="1" applyAlignment="1">
      <alignment wrapText="1"/>
    </xf>
    <xf numFmtId="0" fontId="28" fillId="2" borderId="0" xfId="0" applyFont="1" applyFill="1" applyBorder="1" applyProtection="1">
      <protection hidden="1"/>
    </xf>
    <xf numFmtId="0" fontId="28" fillId="2" borderId="11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horizontal="center" wrapText="1"/>
    </xf>
    <xf numFmtId="0" fontId="27" fillId="0" borderId="0" xfId="1" applyFont="1" applyAlignment="1">
      <alignment wrapText="1"/>
    </xf>
    <xf numFmtId="0" fontId="36" fillId="0" borderId="0" xfId="1" applyFont="1" applyBorder="1" applyAlignment="1">
      <alignment vertical="center" wrapText="1"/>
    </xf>
    <xf numFmtId="0" fontId="29" fillId="0" borderId="8" xfId="0" applyFont="1" applyBorder="1" applyAlignment="1">
      <alignment horizontal="center" vertical="center"/>
    </xf>
    <xf numFmtId="165" fontId="29" fillId="0" borderId="8" xfId="2" applyNumberFormat="1" applyFont="1" applyBorder="1" applyAlignment="1">
      <alignment horizontal="center" vertical="center"/>
    </xf>
    <xf numFmtId="165" fontId="0" fillId="0" borderId="0" xfId="0" applyNumberFormat="1"/>
    <xf numFmtId="0" fontId="37" fillId="0" borderId="0" xfId="0" applyFont="1"/>
    <xf numFmtId="0" fontId="37" fillId="0" borderId="0" xfId="0" applyFont="1" applyAlignment="1">
      <alignment horizontal="center" vertical="center" wrapText="1"/>
    </xf>
    <xf numFmtId="0" fontId="37" fillId="4" borderId="8" xfId="0" applyFont="1" applyFill="1" applyBorder="1" applyAlignment="1">
      <alignment horizontal="center" vertical="center" wrapText="1"/>
    </xf>
    <xf numFmtId="0" fontId="37" fillId="4" borderId="8" xfId="0" applyFont="1" applyFill="1" applyBorder="1"/>
    <xf numFmtId="0" fontId="27" fillId="0" borderId="0" xfId="1" applyFont="1" applyBorder="1" applyAlignment="1">
      <alignment horizontal="center" vertical="center"/>
    </xf>
    <xf numFmtId="0" fontId="36" fillId="0" borderId="0" xfId="1" applyFont="1" applyBorder="1" applyAlignment="1">
      <alignment vertical="center"/>
    </xf>
    <xf numFmtId="0" fontId="36" fillId="5" borderId="0" xfId="1" applyFont="1" applyFill="1" applyBorder="1" applyAlignment="1">
      <alignment vertical="center"/>
    </xf>
    <xf numFmtId="0" fontId="33" fillId="5" borderId="9" xfId="0" applyFont="1" applyFill="1" applyBorder="1" applyAlignment="1">
      <alignment horizontal="center"/>
    </xf>
    <xf numFmtId="0" fontId="0" fillId="5" borderId="0" xfId="0" applyFill="1"/>
    <xf numFmtId="0" fontId="33" fillId="5" borderId="0" xfId="0" applyFont="1" applyFill="1" applyBorder="1" applyAlignment="1" applyProtection="1">
      <alignment horizontal="center"/>
      <protection hidden="1"/>
    </xf>
    <xf numFmtId="0" fontId="33" fillId="5" borderId="0" xfId="0" applyFont="1" applyFill="1" applyAlignment="1">
      <alignment horizontal="center"/>
    </xf>
    <xf numFmtId="0" fontId="36" fillId="5" borderId="0" xfId="1" applyFont="1" applyFill="1" applyBorder="1" applyAlignment="1">
      <alignment vertical="center" wrapText="1"/>
    </xf>
    <xf numFmtId="166" fontId="0" fillId="0" borderId="0" xfId="0" applyNumberFormat="1"/>
    <xf numFmtId="49" fontId="33" fillId="0" borderId="8" xfId="0" applyNumberFormat="1" applyFont="1" applyFill="1" applyBorder="1" applyAlignment="1" applyProtection="1">
      <alignment horizontal="center"/>
      <protection hidden="1"/>
    </xf>
    <xf numFmtId="0" fontId="20" fillId="2" borderId="0" xfId="0" applyFont="1" applyFill="1" applyProtection="1">
      <protection hidden="1"/>
    </xf>
    <xf numFmtId="0" fontId="19" fillId="2" borderId="0" xfId="0" applyFont="1" applyFill="1" applyAlignment="1" applyProtection="1">
      <alignment horizontal="left"/>
      <protection hidden="1"/>
    </xf>
    <xf numFmtId="0" fontId="0" fillId="0" borderId="5" xfId="0" applyBorder="1" applyProtection="1">
      <protection hidden="1"/>
    </xf>
    <xf numFmtId="0" fontId="5" fillId="5" borderId="0" xfId="0" applyFont="1" applyFill="1"/>
    <xf numFmtId="9" fontId="31" fillId="7" borderId="8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8" xfId="0" applyFont="1" applyBorder="1" applyAlignment="1">
      <alignment horizontal="justify" vertical="center" wrapText="1"/>
    </xf>
    <xf numFmtId="0" fontId="26" fillId="0" borderId="8" xfId="1" applyFont="1" applyBorder="1" applyAlignment="1">
      <alignment horizontal="center" vertical="center"/>
    </xf>
    <xf numFmtId="0" fontId="28" fillId="0" borderId="8" xfId="0" applyNumberFormat="1" applyFont="1" applyFill="1" applyBorder="1" applyAlignment="1" applyProtection="1">
      <alignment horizontal="center" vertical="center" wrapText="1"/>
      <protection locked="0" hidden="1"/>
    </xf>
    <xf numFmtId="0" fontId="37" fillId="4" borderId="8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 applyProtection="1">
      <alignment horizontal="center"/>
      <protection hidden="1"/>
    </xf>
    <xf numFmtId="0" fontId="26" fillId="4" borderId="18" xfId="1" applyFont="1" applyFill="1" applyBorder="1" applyAlignment="1">
      <alignment horizontal="center" vertical="center" wrapText="1"/>
    </xf>
    <xf numFmtId="1" fontId="36" fillId="0" borderId="0" xfId="1" applyNumberFormat="1" applyFont="1" applyBorder="1" applyAlignment="1">
      <alignment horizontal="left" vertical="center" wrapText="1"/>
    </xf>
    <xf numFmtId="0" fontId="36" fillId="0" borderId="0" xfId="1" applyFont="1" applyBorder="1" applyAlignment="1">
      <alignment horizontal="center" vertical="center" wrapText="1"/>
    </xf>
    <xf numFmtId="166" fontId="29" fillId="0" borderId="8" xfId="0" applyNumberFormat="1" applyFont="1" applyBorder="1" applyAlignment="1">
      <alignment horizontal="center" vertical="center"/>
    </xf>
    <xf numFmtId="166" fontId="29" fillId="0" borderId="8" xfId="2" applyNumberFormat="1" applyFont="1" applyBorder="1" applyAlignment="1">
      <alignment horizontal="center" vertical="center"/>
    </xf>
    <xf numFmtId="1" fontId="29" fillId="0" borderId="8" xfId="2" applyNumberFormat="1" applyFont="1" applyBorder="1" applyAlignment="1">
      <alignment horizontal="center" vertical="center"/>
    </xf>
    <xf numFmtId="1" fontId="29" fillId="0" borderId="14" xfId="2" applyNumberFormat="1" applyFont="1" applyBorder="1" applyAlignment="1">
      <alignment horizontal="center" vertical="center"/>
    </xf>
    <xf numFmtId="0" fontId="39" fillId="0" borderId="0" xfId="0" applyFont="1"/>
    <xf numFmtId="1" fontId="29" fillId="0" borderId="8" xfId="0" applyNumberFormat="1" applyFont="1" applyBorder="1" applyAlignment="1">
      <alignment horizontal="center" vertical="center"/>
    </xf>
    <xf numFmtId="0" fontId="0" fillId="5" borderId="0" xfId="0" applyFont="1" applyFill="1" applyBorder="1"/>
    <xf numFmtId="0" fontId="0" fillId="5" borderId="0" xfId="0" applyFill="1" applyBorder="1"/>
    <xf numFmtId="0" fontId="7" fillId="5" borderId="0" xfId="0" applyFont="1" applyFill="1" applyBorder="1" applyAlignment="1">
      <alignment horizontal="center"/>
    </xf>
    <xf numFmtId="0" fontId="36" fillId="0" borderId="9" xfId="1" applyFont="1" applyBorder="1" applyAlignment="1">
      <alignment horizontal="center" vertical="center" wrapText="1"/>
    </xf>
    <xf numFmtId="0" fontId="40" fillId="5" borderId="8" xfId="1" applyFont="1" applyFill="1" applyBorder="1" applyAlignment="1">
      <alignment horizontal="center" vertical="center" wrapText="1"/>
    </xf>
    <xf numFmtId="0" fontId="40" fillId="5" borderId="8" xfId="1" applyFont="1" applyFill="1" applyBorder="1" applyAlignment="1">
      <alignment horizontal="center" vertical="center"/>
    </xf>
    <xf numFmtId="0" fontId="40" fillId="5" borderId="8" xfId="0" applyFont="1" applyFill="1" applyBorder="1" applyAlignment="1">
      <alignment horizontal="center"/>
    </xf>
    <xf numFmtId="1" fontId="40" fillId="5" borderId="8" xfId="2" applyNumberFormat="1" applyFont="1" applyFill="1" applyBorder="1" applyAlignment="1">
      <alignment horizontal="center"/>
    </xf>
    <xf numFmtId="166" fontId="40" fillId="5" borderId="8" xfId="2" applyNumberFormat="1" applyFont="1" applyFill="1" applyBorder="1" applyAlignment="1">
      <alignment horizontal="center"/>
    </xf>
    <xf numFmtId="0" fontId="27" fillId="5" borderId="0" xfId="1" applyFont="1" applyFill="1" applyBorder="1" applyAlignment="1">
      <alignment horizontal="center"/>
    </xf>
    <xf numFmtId="0" fontId="0" fillId="5" borderId="8" xfId="0" applyFill="1" applyBorder="1" applyAlignment="1">
      <alignment wrapText="1"/>
    </xf>
    <xf numFmtId="0" fontId="0" fillId="5" borderId="8" xfId="0" applyFill="1" applyBorder="1" applyAlignment="1">
      <alignment horizontal="center" vertical="center"/>
    </xf>
    <xf numFmtId="166" fontId="0" fillId="5" borderId="8" xfId="0" applyNumberFormat="1" applyFill="1" applyBorder="1" applyAlignment="1">
      <alignment horizontal="center" vertical="center"/>
    </xf>
    <xf numFmtId="0" fontId="41" fillId="0" borderId="0" xfId="1" applyFont="1" applyAlignment="1">
      <alignment wrapText="1"/>
    </xf>
    <xf numFmtId="0" fontId="27" fillId="0" borderId="0" xfId="1" applyFont="1" applyAlignment="1">
      <alignment vertical="center" wrapText="1"/>
    </xf>
    <xf numFmtId="10" fontId="0" fillId="0" borderId="0" xfId="0" applyNumberFormat="1"/>
    <xf numFmtId="0" fontId="36" fillId="0" borderId="0" xfId="1" applyFont="1" applyBorder="1" applyAlignment="1">
      <alignment horizontal="left" vertical="center" wrapText="1"/>
    </xf>
    <xf numFmtId="0" fontId="36" fillId="0" borderId="0" xfId="1" applyFont="1" applyBorder="1" applyAlignment="1">
      <alignment horizontal="right" vertical="center" wrapText="1"/>
    </xf>
    <xf numFmtId="0" fontId="10" fillId="0" borderId="8" xfId="1" applyBorder="1" applyAlignment="1">
      <alignment horizontal="center" vertical="center"/>
    </xf>
    <xf numFmtId="0" fontId="36" fillId="0" borderId="0" xfId="1" applyNumberFormat="1" applyFont="1" applyBorder="1" applyAlignment="1">
      <alignment vertical="center" wrapText="1"/>
    </xf>
    <xf numFmtId="49" fontId="7" fillId="0" borderId="0" xfId="1" applyNumberFormat="1" applyFont="1" applyAlignment="1">
      <alignment vertical="center"/>
    </xf>
    <xf numFmtId="9" fontId="42" fillId="0" borderId="0" xfId="2" applyFont="1"/>
    <xf numFmtId="0" fontId="44" fillId="9" borderId="8" xfId="0" applyFont="1" applyFill="1" applyBorder="1" applyAlignment="1" applyProtection="1">
      <alignment horizontal="center" vertical="center" wrapText="1"/>
      <protection hidden="1"/>
    </xf>
    <xf numFmtId="0" fontId="44" fillId="9" borderId="8" xfId="0" applyFont="1" applyFill="1" applyBorder="1" applyAlignment="1" applyProtection="1">
      <alignment horizontal="center" vertical="center" textRotation="90"/>
      <protection hidden="1"/>
    </xf>
    <xf numFmtId="0" fontId="44" fillId="9" borderId="19" xfId="0" applyFont="1" applyFill="1" applyBorder="1" applyAlignment="1" applyProtection="1">
      <alignment horizontal="center" vertical="center"/>
      <protection hidden="1"/>
    </xf>
    <xf numFmtId="0" fontId="45" fillId="9" borderId="8" xfId="0" applyFont="1" applyFill="1" applyBorder="1" applyAlignment="1">
      <alignment horizontal="center" vertical="center" wrapText="1"/>
    </xf>
    <xf numFmtId="0" fontId="44" fillId="7" borderId="8" xfId="0" applyFont="1" applyFill="1" applyBorder="1" applyAlignment="1" applyProtection="1">
      <alignment horizontal="center" vertical="center" wrapText="1"/>
      <protection hidden="1"/>
    </xf>
    <xf numFmtId="0" fontId="43" fillId="7" borderId="8" xfId="0" applyFont="1" applyFill="1" applyBorder="1" applyProtection="1">
      <protection hidden="1"/>
    </xf>
    <xf numFmtId="0" fontId="43" fillId="7" borderId="39" xfId="0" applyNumberFormat="1" applyFont="1" applyFill="1" applyBorder="1" applyAlignment="1" applyProtection="1">
      <alignment horizontal="center"/>
      <protection hidden="1"/>
    </xf>
    <xf numFmtId="0" fontId="44" fillId="9" borderId="12" xfId="0" applyFont="1" applyFill="1" applyBorder="1" applyAlignment="1"/>
    <xf numFmtId="0" fontId="44" fillId="9" borderId="12" xfId="0" applyFont="1" applyFill="1" applyBorder="1" applyAlignment="1">
      <alignment horizontal="center" textRotation="90"/>
    </xf>
    <xf numFmtId="0" fontId="44" fillId="9" borderId="34" xfId="0" applyFont="1" applyFill="1" applyBorder="1" applyAlignment="1">
      <alignment horizontal="center"/>
    </xf>
    <xf numFmtId="0" fontId="43" fillId="2" borderId="11" xfId="0" applyFont="1" applyFill="1" applyBorder="1" applyProtection="1">
      <protection hidden="1"/>
    </xf>
    <xf numFmtId="0" fontId="43" fillId="2" borderId="8" xfId="0" applyFont="1" applyFill="1" applyBorder="1" applyProtection="1">
      <protection hidden="1"/>
    </xf>
    <xf numFmtId="0" fontId="43" fillId="10" borderId="8" xfId="0" applyFont="1" applyFill="1" applyBorder="1" applyProtection="1">
      <protection hidden="1"/>
    </xf>
    <xf numFmtId="0" fontId="43" fillId="11" borderId="8" xfId="0" applyFont="1" applyFill="1" applyBorder="1" applyProtection="1">
      <protection hidden="1"/>
    </xf>
    <xf numFmtId="0" fontId="43" fillId="12" borderId="8" xfId="0" applyFont="1" applyFill="1" applyBorder="1" applyProtection="1">
      <protection hidden="1"/>
    </xf>
    <xf numFmtId="0" fontId="43" fillId="13" borderId="8" xfId="0" applyFont="1" applyFill="1" applyBorder="1" applyProtection="1">
      <protection hidden="1"/>
    </xf>
    <xf numFmtId="166" fontId="43" fillId="2" borderId="8" xfId="2" applyNumberFormat="1" applyFont="1" applyFill="1" applyBorder="1" applyProtection="1">
      <protection hidden="1"/>
    </xf>
    <xf numFmtId="9" fontId="43" fillId="2" borderId="8" xfId="2" applyNumberFormat="1" applyFont="1" applyFill="1" applyBorder="1" applyProtection="1">
      <protection hidden="1"/>
    </xf>
    <xf numFmtId="0" fontId="43" fillId="2" borderId="8" xfId="0" applyFont="1" applyFill="1" applyBorder="1" applyAlignment="1" applyProtection="1">
      <alignment horizontal="center"/>
      <protection hidden="1"/>
    </xf>
    <xf numFmtId="0" fontId="43" fillId="14" borderId="8" xfId="0" applyFont="1" applyFill="1" applyBorder="1" applyProtection="1">
      <protection hidden="1"/>
    </xf>
    <xf numFmtId="0" fontId="43" fillId="0" borderId="8" xfId="0" applyFont="1" applyFill="1" applyBorder="1" applyProtection="1">
      <protection hidden="1"/>
    </xf>
    <xf numFmtId="49" fontId="43" fillId="0" borderId="0" xfId="0" applyNumberFormat="1" applyFont="1" applyProtection="1">
      <protection hidden="1"/>
    </xf>
    <xf numFmtId="0" fontId="43" fillId="0" borderId="0" xfId="0" applyFont="1" applyBorder="1" applyProtection="1">
      <protection hidden="1"/>
    </xf>
    <xf numFmtId="0" fontId="43" fillId="0" borderId="0" xfId="0" applyFont="1" applyProtection="1">
      <protection hidden="1"/>
    </xf>
    <xf numFmtId="0" fontId="43" fillId="0" borderId="0" xfId="0" applyFont="1" applyAlignment="1" applyProtection="1">
      <alignment wrapText="1"/>
      <protection hidden="1"/>
    </xf>
    <xf numFmtId="0" fontId="33" fillId="5" borderId="0" xfId="0" applyFont="1" applyFill="1" applyBorder="1" applyAlignment="1" applyProtection="1">
      <alignment horizontal="center"/>
      <protection hidden="1"/>
    </xf>
    <xf numFmtId="0" fontId="45" fillId="8" borderId="8" xfId="0" applyFont="1" applyFill="1" applyBorder="1" applyAlignment="1">
      <alignment horizontal="center" vertical="center" wrapText="1"/>
    </xf>
    <xf numFmtId="0" fontId="45" fillId="8" borderId="14" xfId="0" applyFont="1" applyFill="1" applyBorder="1" applyAlignment="1">
      <alignment horizontal="center" vertical="center" wrapText="1"/>
    </xf>
    <xf numFmtId="0" fontId="10" fillId="5" borderId="0" xfId="1" applyFill="1" applyBorder="1"/>
    <xf numFmtId="0" fontId="31" fillId="7" borderId="8" xfId="0" applyFont="1" applyFill="1" applyBorder="1" applyAlignment="1">
      <alignment horizontal="center" vertical="center" wrapText="1"/>
    </xf>
    <xf numFmtId="0" fontId="0" fillId="5" borderId="8" xfId="0" applyFill="1" applyBorder="1"/>
    <xf numFmtId="0" fontId="0" fillId="7" borderId="8" xfId="0" applyFill="1" applyBorder="1" applyAlignment="1">
      <alignment horizontal="center" vertical="center" wrapText="1"/>
    </xf>
    <xf numFmtId="0" fontId="0" fillId="7" borderId="8" xfId="0" applyFill="1" applyBorder="1"/>
    <xf numFmtId="0" fontId="27" fillId="5" borderId="0" xfId="1" applyFont="1" applyFill="1" applyAlignment="1">
      <alignment vertical="center" wrapText="1"/>
    </xf>
    <xf numFmtId="0" fontId="40" fillId="5" borderId="8" xfId="0" applyFont="1" applyFill="1" applyBorder="1"/>
    <xf numFmtId="1" fontId="0" fillId="5" borderId="0" xfId="0" applyNumberFormat="1" applyFill="1"/>
    <xf numFmtId="1" fontId="36" fillId="5" borderId="9" xfId="1" applyNumberFormat="1" applyFont="1" applyFill="1" applyBorder="1" applyAlignment="1">
      <alignment horizontal="left" vertical="center" wrapText="1"/>
    </xf>
    <xf numFmtId="1" fontId="36" fillId="5" borderId="9" xfId="1" applyNumberFormat="1" applyFont="1" applyFill="1" applyBorder="1" applyAlignment="1">
      <alignment horizontal="center" vertical="center" wrapText="1"/>
    </xf>
    <xf numFmtId="0" fontId="29" fillId="0" borderId="3" xfId="0" applyFont="1" applyBorder="1" applyAlignment="1" applyProtection="1">
      <alignment horizontal="center" vertical="center" wrapText="1"/>
      <protection locked="0" hidden="1"/>
    </xf>
    <xf numFmtId="0" fontId="31" fillId="4" borderId="13" xfId="0" applyFont="1" applyFill="1" applyBorder="1" applyAlignment="1" applyProtection="1">
      <alignment horizontal="center" vertical="center" wrapText="1"/>
      <protection hidden="1"/>
    </xf>
    <xf numFmtId="0" fontId="28" fillId="2" borderId="26" xfId="0" applyFont="1" applyFill="1" applyBorder="1" applyAlignment="1" applyProtection="1">
      <alignment horizontal="center"/>
      <protection hidden="1"/>
    </xf>
    <xf numFmtId="0" fontId="28" fillId="2" borderId="19" xfId="0" applyFont="1" applyFill="1" applyBorder="1" applyAlignment="1" applyProtection="1">
      <alignment horizontal="center"/>
      <protection hidden="1"/>
    </xf>
    <xf numFmtId="0" fontId="28" fillId="2" borderId="27" xfId="0" applyFont="1" applyFill="1" applyBorder="1" applyAlignment="1" applyProtection="1">
      <alignment horizontal="center"/>
      <protection hidden="1"/>
    </xf>
    <xf numFmtId="0" fontId="28" fillId="2" borderId="23" xfId="0" applyFont="1" applyFill="1" applyBorder="1" applyAlignment="1" applyProtection="1">
      <alignment vertical="center" wrapText="1"/>
      <protection hidden="1"/>
    </xf>
    <xf numFmtId="0" fontId="28" fillId="2" borderId="16" xfId="0" applyFont="1" applyFill="1" applyBorder="1" applyAlignment="1" applyProtection="1">
      <alignment vertical="center" wrapText="1"/>
      <protection hidden="1"/>
    </xf>
    <xf numFmtId="0" fontId="28" fillId="2" borderId="17" xfId="0" applyFont="1" applyFill="1" applyBorder="1" applyAlignment="1" applyProtection="1">
      <alignment vertical="center" wrapText="1"/>
      <protection hidden="1"/>
    </xf>
    <xf numFmtId="0" fontId="28" fillId="0" borderId="8" xfId="0" applyFont="1" applyFill="1" applyBorder="1" applyAlignment="1" applyProtection="1">
      <alignment horizontal="center" vertical="center" wrapText="1"/>
      <protection hidden="1"/>
    </xf>
    <xf numFmtId="0" fontId="28" fillId="0" borderId="14" xfId="0" applyFont="1" applyFill="1" applyBorder="1" applyAlignment="1" applyProtection="1">
      <alignment horizontal="center" vertical="center" textRotation="90" wrapText="1"/>
      <protection hidden="1"/>
    </xf>
    <xf numFmtId="0" fontId="28" fillId="0" borderId="8" xfId="0" applyFont="1" applyFill="1" applyBorder="1" applyAlignment="1" applyProtection="1">
      <alignment horizontal="center" vertical="center"/>
      <protection hidden="1"/>
    </xf>
    <xf numFmtId="0" fontId="28" fillId="0" borderId="14" xfId="0" applyFont="1" applyFill="1" applyBorder="1" applyAlignment="1" applyProtection="1">
      <alignment horizontal="center" vertical="center"/>
      <protection hidden="1"/>
    </xf>
    <xf numFmtId="0" fontId="28" fillId="0" borderId="14" xfId="0" applyFont="1" applyFill="1" applyBorder="1" applyAlignment="1" applyProtection="1">
      <alignment horizontal="center" wrapText="1"/>
      <protection hidden="1"/>
    </xf>
    <xf numFmtId="0" fontId="28" fillId="0" borderId="40" xfId="0" applyFont="1" applyFill="1" applyBorder="1" applyAlignment="1" applyProtection="1">
      <alignment horizontal="center" vertical="center"/>
      <protection hidden="1"/>
    </xf>
    <xf numFmtId="0" fontId="28" fillId="0" borderId="37" xfId="0" applyFont="1" applyFill="1" applyBorder="1" applyAlignment="1" applyProtection="1">
      <alignment horizontal="center" vertical="center"/>
      <protection hidden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 applyProtection="1">
      <alignment horizontal="center" vertical="center" wrapText="1"/>
      <protection locked="0" hidden="1"/>
    </xf>
    <xf numFmtId="0" fontId="31" fillId="0" borderId="13" xfId="0" applyFont="1" applyFill="1" applyBorder="1" applyAlignment="1" applyProtection="1">
      <alignment horizontal="center" vertical="center" textRotation="90"/>
      <protection hidden="1"/>
    </xf>
    <xf numFmtId="0" fontId="31" fillId="0" borderId="41" xfId="0" applyFont="1" applyFill="1" applyBorder="1" applyAlignment="1" applyProtection="1">
      <alignment horizontal="center" vertical="center"/>
      <protection hidden="1"/>
    </xf>
    <xf numFmtId="0" fontId="28" fillId="0" borderId="8" xfId="0" applyFont="1" applyFill="1" applyBorder="1" applyAlignment="1">
      <alignment horizontal="center" vertical="center" wrapText="1"/>
    </xf>
    <xf numFmtId="1" fontId="28" fillId="2" borderId="8" xfId="0" applyNumberFormat="1" applyFont="1" applyFill="1" applyBorder="1" applyAlignment="1" applyProtection="1">
      <alignment horizontal="center"/>
      <protection locked="0"/>
    </xf>
    <xf numFmtId="1" fontId="28" fillId="0" borderId="8" xfId="0" applyNumberFormat="1" applyFont="1" applyBorder="1" applyAlignment="1" applyProtection="1">
      <alignment horizontal="center"/>
      <protection locked="0"/>
    </xf>
    <xf numFmtId="0" fontId="44" fillId="9" borderId="14" xfId="0" applyFont="1" applyFill="1" applyBorder="1" applyAlignment="1" applyProtection="1">
      <alignment horizontal="center" vertical="center" wrapText="1"/>
      <protection hidden="1"/>
    </xf>
    <xf numFmtId="0" fontId="44" fillId="9" borderId="14" xfId="0" applyFont="1" applyFill="1" applyBorder="1" applyAlignment="1" applyProtection="1">
      <alignment horizontal="center" vertical="center" textRotation="90"/>
      <protection hidden="1"/>
    </xf>
    <xf numFmtId="0" fontId="44" fillId="9" borderId="40" xfId="0" applyFont="1" applyFill="1" applyBorder="1" applyAlignment="1" applyProtection="1">
      <alignment horizontal="center" vertical="center"/>
      <protection hidden="1"/>
    </xf>
    <xf numFmtId="0" fontId="44" fillId="7" borderId="14" xfId="0" applyFont="1" applyFill="1" applyBorder="1" applyAlignment="1" applyProtection="1">
      <alignment horizontal="center" vertical="center" wrapText="1"/>
      <protection hidden="1"/>
    </xf>
    <xf numFmtId="0" fontId="43" fillId="7" borderId="14" xfId="0" applyFont="1" applyFill="1" applyBorder="1" applyProtection="1">
      <protection hidden="1"/>
    </xf>
    <xf numFmtId="0" fontId="43" fillId="7" borderId="43" xfId="0" applyNumberFormat="1" applyFont="1" applyFill="1" applyBorder="1" applyAlignment="1" applyProtection="1">
      <alignment horizontal="center"/>
      <protection hidden="1"/>
    </xf>
    <xf numFmtId="0" fontId="31" fillId="0" borderId="8" xfId="0" applyFont="1" applyFill="1" applyBorder="1" applyAlignment="1" applyProtection="1">
      <alignment horizontal="center" vertical="center" wrapText="1"/>
      <protection hidden="1"/>
    </xf>
    <xf numFmtId="0" fontId="31" fillId="0" borderId="8" xfId="0" applyFont="1" applyFill="1" applyBorder="1" applyAlignment="1" applyProtection="1">
      <alignment horizontal="center" vertical="center" textRotation="90"/>
      <protection hidden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 applyProtection="1">
      <alignment horizontal="center" vertical="center" textRotation="90" wrapText="1"/>
      <protection hidden="1"/>
    </xf>
    <xf numFmtId="0" fontId="31" fillId="0" borderId="14" xfId="0" applyFont="1" applyFill="1" applyBorder="1" applyAlignment="1">
      <alignment horizontal="center" vertical="center" wrapText="1"/>
    </xf>
    <xf numFmtId="0" fontId="0" fillId="5" borderId="0" xfId="0" applyFill="1" applyProtection="1">
      <protection hidden="1"/>
    </xf>
    <xf numFmtId="0" fontId="0" fillId="5" borderId="0" xfId="0" applyFill="1" applyAlignment="1" applyProtection="1">
      <alignment wrapText="1"/>
      <protection hidden="1"/>
    </xf>
    <xf numFmtId="0" fontId="0" fillId="5" borderId="0" xfId="0" applyFill="1" applyBorder="1" applyProtection="1">
      <protection hidden="1"/>
    </xf>
    <xf numFmtId="0" fontId="39" fillId="5" borderId="0" xfId="0" applyFont="1" applyFill="1" applyBorder="1" applyProtection="1">
      <protection hidden="1"/>
    </xf>
    <xf numFmtId="0" fontId="31" fillId="0" borderId="40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0" fontId="45" fillId="8" borderId="40" xfId="0" applyFont="1" applyFill="1" applyBorder="1" applyAlignment="1">
      <alignment horizontal="center" vertical="center" wrapText="1"/>
    </xf>
    <xf numFmtId="0" fontId="45" fillId="8" borderId="19" xfId="0" applyFont="1" applyFill="1" applyBorder="1" applyAlignment="1">
      <alignment horizontal="center" vertical="center" wrapText="1"/>
    </xf>
    <xf numFmtId="0" fontId="45" fillId="8" borderId="27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textRotation="90" wrapText="1"/>
      <protection hidden="1"/>
    </xf>
    <xf numFmtId="0" fontId="31" fillId="0" borderId="15" xfId="0" applyFont="1" applyFill="1" applyBorder="1" applyAlignment="1" applyProtection="1">
      <alignment horizontal="center" vertical="center" wrapText="1"/>
      <protection hidden="1"/>
    </xf>
    <xf numFmtId="0" fontId="44" fillId="7" borderId="21" xfId="0" applyFont="1" applyFill="1" applyBorder="1" applyAlignment="1" applyProtection="1">
      <alignment horizontal="center" vertical="center" wrapText="1"/>
      <protection hidden="1"/>
    </xf>
    <xf numFmtId="0" fontId="44" fillId="7" borderId="16" xfId="0" applyFont="1" applyFill="1" applyBorder="1" applyAlignment="1" applyProtection="1">
      <alignment horizontal="center" vertical="center" wrapText="1"/>
      <protection hidden="1"/>
    </xf>
    <xf numFmtId="0" fontId="31" fillId="8" borderId="32" xfId="0" applyFont="1" applyFill="1" applyBorder="1" applyAlignment="1">
      <alignment horizontal="center" vertical="center" wrapText="1"/>
    </xf>
    <xf numFmtId="0" fontId="31" fillId="8" borderId="5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23" fillId="0" borderId="8" xfId="0" applyNumberFormat="1" applyFont="1" applyBorder="1" applyAlignment="1">
      <alignment horizontal="center" vertical="center" wrapText="1"/>
    </xf>
    <xf numFmtId="0" fontId="26" fillId="5" borderId="8" xfId="1" applyFont="1" applyFill="1" applyBorder="1" applyAlignment="1">
      <alignment horizontal="center" vertical="center"/>
    </xf>
    <xf numFmtId="165" fontId="26" fillId="5" borderId="8" xfId="1" applyNumberFormat="1" applyFont="1" applyFill="1" applyBorder="1" applyAlignment="1">
      <alignment horizontal="center" vertical="center"/>
    </xf>
    <xf numFmtId="0" fontId="31" fillId="0" borderId="19" xfId="0" applyFont="1" applyFill="1" applyBorder="1" applyAlignment="1" applyProtection="1">
      <alignment horizontal="center" vertical="center"/>
      <protection hidden="1"/>
    </xf>
    <xf numFmtId="0" fontId="31" fillId="0" borderId="37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45" fillId="8" borderId="37" xfId="0" applyFont="1" applyFill="1" applyBorder="1" applyAlignment="1">
      <alignment horizontal="center" vertical="center" wrapText="1"/>
    </xf>
    <xf numFmtId="0" fontId="45" fillId="8" borderId="11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>
      <alignment horizontal="center" vertical="center" wrapText="1"/>
    </xf>
    <xf numFmtId="0" fontId="37" fillId="4" borderId="8" xfId="0" applyFont="1" applyFill="1" applyBorder="1" applyAlignment="1">
      <alignment horizontal="center" vertical="center" wrapText="1"/>
    </xf>
    <xf numFmtId="0" fontId="28" fillId="16" borderId="3" xfId="0" applyFont="1" applyFill="1" applyBorder="1" applyAlignment="1">
      <alignment horizontal="center" vertical="center" wrapText="1"/>
    </xf>
    <xf numFmtId="0" fontId="28" fillId="18" borderId="3" xfId="0" applyFont="1" applyFill="1" applyBorder="1" applyAlignment="1">
      <alignment horizontal="center" vertical="center" wrapText="1"/>
    </xf>
    <xf numFmtId="0" fontId="28" fillId="17" borderId="3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0" fillId="2" borderId="8" xfId="0" applyFill="1" applyBorder="1" applyProtection="1">
      <protection hidden="1"/>
    </xf>
    <xf numFmtId="166" fontId="7" fillId="7" borderId="8" xfId="0" applyNumberFormat="1" applyFont="1" applyFill="1" applyBorder="1" applyAlignment="1" applyProtection="1">
      <alignment horizontal="center"/>
      <protection hidden="1"/>
    </xf>
    <xf numFmtId="0" fontId="31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166" fontId="0" fillId="5" borderId="0" xfId="0" applyNumberFormat="1" applyFill="1" applyBorder="1" applyAlignment="1">
      <alignment horizontal="center" vertical="center"/>
    </xf>
    <xf numFmtId="0" fontId="45" fillId="15" borderId="29" xfId="0" applyFont="1" applyFill="1" applyBorder="1" applyAlignment="1">
      <alignment horizontal="center" vertical="center" wrapText="1"/>
    </xf>
    <xf numFmtId="0" fontId="28" fillId="15" borderId="14" xfId="0" applyNumberFormat="1" applyFont="1" applyFill="1" applyBorder="1" applyAlignment="1" applyProtection="1">
      <alignment horizontal="center" vertical="center" wrapText="1"/>
      <protection locked="0" hidden="1"/>
    </xf>
    <xf numFmtId="0" fontId="27" fillId="7" borderId="0" xfId="1" applyFont="1" applyFill="1" applyBorder="1" applyAlignment="1">
      <alignment horizontal="center" vertical="center"/>
    </xf>
    <xf numFmtId="0" fontId="36" fillId="7" borderId="0" xfId="1" applyFont="1" applyFill="1" applyBorder="1" applyAlignment="1">
      <alignment vertical="center" wrapText="1"/>
    </xf>
    <xf numFmtId="49" fontId="7" fillId="5" borderId="0" xfId="1" applyNumberFormat="1" applyFont="1" applyFill="1" applyAlignment="1">
      <alignment vertical="center"/>
    </xf>
    <xf numFmtId="0" fontId="36" fillId="7" borderId="0" xfId="1" applyFont="1" applyFill="1" applyBorder="1" applyAlignment="1">
      <alignment horizontal="center" vertical="center" wrapText="1"/>
    </xf>
    <xf numFmtId="0" fontId="28" fillId="2" borderId="24" xfId="0" applyFont="1" applyFill="1" applyBorder="1" applyAlignment="1" applyProtection="1">
      <alignment vertical="center" wrapText="1"/>
      <protection hidden="1"/>
    </xf>
    <xf numFmtId="0" fontId="28" fillId="2" borderId="15" xfId="0" applyFont="1" applyFill="1" applyBorder="1" applyAlignment="1" applyProtection="1">
      <alignment vertical="center" wrapText="1"/>
      <protection hidden="1"/>
    </xf>
    <xf numFmtId="0" fontId="28" fillId="2" borderId="18" xfId="0" applyFont="1" applyFill="1" applyBorder="1" applyAlignment="1" applyProtection="1">
      <alignment vertical="center" wrapText="1"/>
      <protection hidden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0" fillId="2" borderId="20" xfId="0" applyFill="1" applyBorder="1" applyProtection="1">
      <protection hidden="1"/>
    </xf>
    <xf numFmtId="0" fontId="26" fillId="4" borderId="20" xfId="1" applyFont="1" applyFill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/>
    </xf>
    <xf numFmtId="0" fontId="31" fillId="2" borderId="33" xfId="0" applyFont="1" applyFill="1" applyBorder="1" applyAlignment="1" applyProtection="1">
      <alignment horizontal="center" vertical="center" wrapText="1"/>
      <protection hidden="1"/>
    </xf>
    <xf numFmtId="0" fontId="31" fillId="2" borderId="60" xfId="0" applyFont="1" applyFill="1" applyBorder="1" applyAlignment="1" applyProtection="1">
      <alignment horizontal="center" vertical="center" wrapText="1"/>
      <protection hidden="1"/>
    </xf>
    <xf numFmtId="0" fontId="28" fillId="8" borderId="19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8" borderId="27" xfId="0" applyNumberFormat="1" applyFont="1" applyFill="1" applyBorder="1" applyAlignment="1" applyProtection="1">
      <alignment horizontal="center" vertical="center" wrapText="1"/>
      <protection locked="0" hidden="1"/>
    </xf>
    <xf numFmtId="0" fontId="31" fillId="0" borderId="61" xfId="0" applyFont="1" applyFill="1" applyBorder="1" applyAlignment="1" applyProtection="1">
      <alignment horizontal="center" vertical="center" textRotation="90"/>
      <protection hidden="1"/>
    </xf>
    <xf numFmtId="0" fontId="31" fillId="0" borderId="33" xfId="0" applyFont="1" applyFill="1" applyBorder="1" applyAlignment="1" applyProtection="1">
      <alignment horizontal="center" vertical="center" textRotation="90"/>
      <protection hidden="1"/>
    </xf>
    <xf numFmtId="0" fontId="44" fillId="9" borderId="33" xfId="0" applyFont="1" applyFill="1" applyBorder="1" applyAlignment="1" applyProtection="1">
      <alignment horizontal="center" vertical="center"/>
      <protection hidden="1"/>
    </xf>
    <xf numFmtId="0" fontId="44" fillId="9" borderId="60" xfId="0" applyFont="1" applyFill="1" applyBorder="1" applyAlignment="1">
      <alignment horizontal="center"/>
    </xf>
    <xf numFmtId="0" fontId="31" fillId="0" borderId="28" xfId="0" applyFont="1" applyFill="1" applyBorder="1" applyAlignment="1">
      <alignment horizontal="center" vertical="center" wrapText="1"/>
    </xf>
    <xf numFmtId="0" fontId="45" fillId="9" borderId="11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45" fillId="9" borderId="16" xfId="0" applyFont="1" applyFill="1" applyBorder="1" applyAlignment="1">
      <alignment horizontal="center" vertical="center" wrapText="1"/>
    </xf>
    <xf numFmtId="0" fontId="45" fillId="9" borderId="15" xfId="0" applyFont="1" applyFill="1" applyBorder="1" applyAlignment="1">
      <alignment horizontal="center" vertical="center" wrapText="1"/>
    </xf>
    <xf numFmtId="0" fontId="28" fillId="2" borderId="23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2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2" borderId="15" xfId="0" applyNumberFormat="1" applyFont="1" applyFill="1" applyBorder="1" applyAlignment="1" applyProtection="1">
      <alignment horizontal="center" vertical="center" wrapText="1"/>
      <protection locked="0" hidden="1"/>
    </xf>
    <xf numFmtId="0" fontId="31" fillId="0" borderId="26" xfId="0" applyFont="1" applyFill="1" applyBorder="1" applyAlignment="1">
      <alignment horizontal="center" vertical="center" wrapText="1"/>
    </xf>
    <xf numFmtId="0" fontId="45" fillId="9" borderId="19" xfId="0" applyFont="1" applyFill="1" applyBorder="1" applyAlignment="1">
      <alignment horizontal="center" vertical="center" wrapText="1"/>
    </xf>
    <xf numFmtId="0" fontId="28" fillId="2" borderId="19" xfId="0" applyNumberFormat="1" applyFont="1" applyFill="1" applyBorder="1" applyAlignment="1" applyProtection="1">
      <alignment horizontal="center" vertical="center" wrapText="1"/>
      <protection locked="0" hidden="1"/>
    </xf>
    <xf numFmtId="0" fontId="31" fillId="8" borderId="62" xfId="0" applyFont="1" applyFill="1" applyBorder="1" applyAlignment="1">
      <alignment horizontal="center" vertical="center" wrapText="1"/>
    </xf>
    <xf numFmtId="0" fontId="28" fillId="15" borderId="37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2" borderId="63" xfId="0" applyFont="1" applyFill="1" applyBorder="1" applyAlignment="1" applyProtection="1">
      <alignment horizontal="center"/>
      <protection hidden="1"/>
    </xf>
    <xf numFmtId="0" fontId="28" fillId="2" borderId="63" xfId="0" applyFont="1" applyFill="1" applyBorder="1" applyAlignment="1" applyProtection="1">
      <alignment vertical="center" wrapText="1"/>
      <protection hidden="1"/>
    </xf>
    <xf numFmtId="0" fontId="28" fillId="2" borderId="38" xfId="0" applyFont="1" applyFill="1" applyBorder="1" applyAlignment="1" applyProtection="1">
      <alignment horizontal="center"/>
      <protection hidden="1"/>
    </xf>
    <xf numFmtId="0" fontId="28" fillId="2" borderId="38" xfId="0" applyFont="1" applyFill="1" applyBorder="1" applyAlignment="1" applyProtection="1">
      <alignment vertical="center" wrapText="1"/>
      <protection hidden="1"/>
    </xf>
    <xf numFmtId="0" fontId="28" fillId="2" borderId="59" xfId="0" applyFont="1" applyFill="1" applyBorder="1" applyAlignment="1" applyProtection="1">
      <alignment horizontal="center"/>
      <protection hidden="1"/>
    </xf>
    <xf numFmtId="0" fontId="28" fillId="2" borderId="59" xfId="0" applyFont="1" applyFill="1" applyBorder="1" applyAlignment="1" applyProtection="1">
      <alignment vertical="center" wrapText="1"/>
      <protection hidden="1"/>
    </xf>
    <xf numFmtId="0" fontId="38" fillId="0" borderId="8" xfId="1" applyFont="1" applyBorder="1" applyAlignment="1">
      <alignment horizontal="center" vertical="center"/>
    </xf>
    <xf numFmtId="165" fontId="26" fillId="0" borderId="8" xfId="2" applyNumberFormat="1" applyFont="1" applyBorder="1" applyAlignment="1">
      <alignment horizontal="center" vertical="center"/>
    </xf>
    <xf numFmtId="49" fontId="38" fillId="0" borderId="8" xfId="1" applyNumberFormat="1" applyFont="1" applyBorder="1" applyAlignment="1">
      <alignment horizontal="center" vertical="center"/>
    </xf>
    <xf numFmtId="0" fontId="38" fillId="0" borderId="14" xfId="1" applyFont="1" applyBorder="1" applyAlignment="1">
      <alignment horizontal="center" vertical="center"/>
    </xf>
    <xf numFmtId="0" fontId="23" fillId="0" borderId="14" xfId="0" applyFont="1" applyBorder="1" applyAlignment="1">
      <alignment horizontal="justify" vertical="center" wrapText="1"/>
    </xf>
    <xf numFmtId="49" fontId="23" fillId="0" borderId="14" xfId="0" applyNumberFormat="1" applyFont="1" applyBorder="1" applyAlignment="1">
      <alignment horizontal="center" vertical="center" wrapText="1"/>
    </xf>
    <xf numFmtId="165" fontId="26" fillId="0" borderId="14" xfId="2" applyNumberFormat="1" applyFont="1" applyBorder="1" applyAlignment="1">
      <alignment horizontal="center" vertical="center"/>
    </xf>
    <xf numFmtId="165" fontId="26" fillId="0" borderId="14" xfId="1" applyNumberFormat="1" applyFont="1" applyBorder="1" applyAlignment="1">
      <alignment horizontal="center" vertical="center"/>
    </xf>
    <xf numFmtId="0" fontId="26" fillId="4" borderId="20" xfId="1" applyFont="1" applyFill="1" applyBorder="1" applyAlignment="1">
      <alignment horizontal="center" vertical="center" wrapText="1"/>
    </xf>
    <xf numFmtId="0" fontId="26" fillId="6" borderId="8" xfId="1" applyFont="1" applyFill="1" applyBorder="1" applyAlignment="1">
      <alignment horizontal="center" vertical="center" wrapText="1"/>
    </xf>
    <xf numFmtId="0" fontId="26" fillId="6" borderId="15" xfId="1" applyFont="1" applyFill="1" applyBorder="1" applyAlignment="1">
      <alignment horizontal="center" vertical="center" wrapText="1"/>
    </xf>
    <xf numFmtId="0" fontId="26" fillId="6" borderId="20" xfId="1" applyFont="1" applyFill="1" applyBorder="1" applyAlignment="1">
      <alignment horizontal="center" vertical="center" wrapText="1"/>
    </xf>
    <xf numFmtId="0" fontId="26" fillId="6" borderId="18" xfId="1" applyFont="1" applyFill="1" applyBorder="1" applyAlignment="1">
      <alignment horizontal="center" vertical="center" wrapText="1"/>
    </xf>
    <xf numFmtId="0" fontId="26" fillId="8" borderId="36" xfId="1" applyFont="1" applyFill="1" applyBorder="1" applyAlignment="1">
      <alignment horizontal="center" vertical="center"/>
    </xf>
    <xf numFmtId="0" fontId="47" fillId="8" borderId="14" xfId="0" applyFont="1" applyFill="1" applyBorder="1" applyAlignment="1">
      <alignment vertical="center" wrapText="1"/>
    </xf>
    <xf numFmtId="0" fontId="26" fillId="0" borderId="37" xfId="1" applyFont="1" applyBorder="1" applyAlignment="1">
      <alignment horizontal="center" vertical="center" wrapText="1"/>
    </xf>
    <xf numFmtId="0" fontId="26" fillId="0" borderId="14" xfId="1" applyFont="1" applyFill="1" applyBorder="1" applyAlignment="1">
      <alignment horizontal="center" vertical="center" wrapText="1"/>
    </xf>
    <xf numFmtId="10" fontId="26" fillId="0" borderId="14" xfId="2" applyNumberFormat="1" applyFont="1" applyBorder="1" applyAlignment="1">
      <alignment horizontal="center" vertical="center" wrapText="1"/>
    </xf>
    <xf numFmtId="0" fontId="26" fillId="0" borderId="21" xfId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6" fillId="8" borderId="33" xfId="1" applyFont="1" applyFill="1" applyBorder="1" applyAlignment="1">
      <alignment horizontal="center" vertical="center"/>
    </xf>
    <xf numFmtId="0" fontId="47" fillId="8" borderId="8" xfId="0" applyFont="1" applyFill="1" applyBorder="1" applyAlignment="1">
      <alignment vertical="center" wrapText="1"/>
    </xf>
    <xf numFmtId="0" fontId="26" fillId="0" borderId="11" xfId="1" applyFont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10" fontId="26" fillId="0" borderId="8" xfId="2" applyNumberFormat="1" applyFont="1" applyBorder="1" applyAlignment="1">
      <alignment horizontal="center" vertical="center" wrapText="1"/>
    </xf>
    <xf numFmtId="0" fontId="26" fillId="0" borderId="16" xfId="1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/>
    </xf>
    <xf numFmtId="166" fontId="28" fillId="0" borderId="8" xfId="0" applyNumberFormat="1" applyFont="1" applyBorder="1" applyAlignment="1">
      <alignment horizontal="center" vertical="center"/>
    </xf>
    <xf numFmtId="10" fontId="26" fillId="0" borderId="15" xfId="2" applyNumberFormat="1" applyFont="1" applyBorder="1" applyAlignment="1">
      <alignment horizontal="center" vertical="center" wrapText="1"/>
    </xf>
    <xf numFmtId="1" fontId="26" fillId="0" borderId="14" xfId="2" applyNumberFormat="1" applyFont="1" applyBorder="1" applyAlignment="1">
      <alignment horizontal="center" vertical="center" wrapText="1"/>
    </xf>
    <xf numFmtId="10" fontId="28" fillId="0" borderId="8" xfId="0" applyNumberFormat="1" applyFont="1" applyBorder="1" applyAlignment="1">
      <alignment horizontal="center" vertical="center"/>
    </xf>
    <xf numFmtId="0" fontId="33" fillId="5" borderId="0" xfId="0" applyFont="1" applyFill="1" applyBorder="1" applyAlignment="1">
      <alignment horizontal="center"/>
    </xf>
    <xf numFmtId="0" fontId="33" fillId="5" borderId="0" xfId="0" applyFont="1" applyFill="1" applyBorder="1" applyAlignment="1"/>
    <xf numFmtId="0" fontId="27" fillId="7" borderId="0" xfId="1" applyFont="1" applyFill="1" applyBorder="1" applyAlignment="1">
      <alignment horizontal="left" vertical="center"/>
    </xf>
    <xf numFmtId="0" fontId="28" fillId="4" borderId="3" xfId="0" applyFont="1" applyFill="1" applyBorder="1" applyAlignment="1">
      <alignment horizontal="center" vertical="center" wrapText="1"/>
    </xf>
    <xf numFmtId="0" fontId="36" fillId="7" borderId="0" xfId="1" applyFont="1" applyFill="1" applyBorder="1" applyAlignment="1">
      <alignment horizontal="center" vertical="center" wrapText="1"/>
    </xf>
    <xf numFmtId="0" fontId="46" fillId="7" borderId="12" xfId="0" applyFont="1" applyFill="1" applyBorder="1" applyAlignment="1" applyProtection="1">
      <alignment horizontal="center" vertical="center"/>
      <protection hidden="1"/>
    </xf>
    <xf numFmtId="0" fontId="31" fillId="0" borderId="16" xfId="0" applyFont="1" applyFill="1" applyBorder="1" applyAlignment="1" applyProtection="1">
      <alignment horizontal="center" vertical="center" wrapText="1"/>
      <protection hidden="1"/>
    </xf>
    <xf numFmtId="0" fontId="44" fillId="9" borderId="21" xfId="0" applyFont="1" applyFill="1" applyBorder="1" applyAlignment="1" applyProtection="1">
      <alignment horizontal="center" vertical="center" wrapText="1"/>
      <protection hidden="1"/>
    </xf>
    <xf numFmtId="0" fontId="43" fillId="7" borderId="22" xfId="0" applyFont="1" applyFill="1" applyBorder="1" applyProtection="1">
      <protection hidden="1"/>
    </xf>
    <xf numFmtId="0" fontId="44" fillId="9" borderId="16" xfId="0" applyFont="1" applyFill="1" applyBorder="1" applyAlignment="1" applyProtection="1">
      <alignment horizontal="center" vertical="center" wrapText="1"/>
      <protection hidden="1"/>
    </xf>
    <xf numFmtId="0" fontId="43" fillId="7" borderId="15" xfId="0" applyFont="1" applyFill="1" applyBorder="1" applyProtection="1">
      <protection hidden="1"/>
    </xf>
    <xf numFmtId="0" fontId="46" fillId="7" borderId="18" xfId="0" applyFont="1" applyFill="1" applyBorder="1" applyAlignment="1" applyProtection="1">
      <alignment horizontal="center" vertical="center"/>
      <protection hidden="1"/>
    </xf>
    <xf numFmtId="166" fontId="7" fillId="7" borderId="30" xfId="0" applyNumberFormat="1" applyFont="1" applyFill="1" applyBorder="1" applyAlignment="1" applyProtection="1">
      <alignment horizontal="center"/>
      <protection hidden="1"/>
    </xf>
    <xf numFmtId="0" fontId="44" fillId="9" borderId="64" xfId="0" applyFont="1" applyFill="1" applyBorder="1" applyAlignment="1">
      <alignment horizontal="center"/>
    </xf>
    <xf numFmtId="166" fontId="31" fillId="2" borderId="8" xfId="0" applyNumberFormat="1" applyFont="1" applyFill="1" applyBorder="1" applyAlignment="1" applyProtection="1">
      <alignment horizontal="center" vertical="center" wrapText="1"/>
      <protection hidden="1"/>
    </xf>
    <xf numFmtId="166" fontId="0" fillId="7" borderId="54" xfId="0" applyNumberFormat="1" applyFill="1" applyBorder="1" applyProtection="1">
      <protection hidden="1"/>
    </xf>
    <xf numFmtId="166" fontId="0" fillId="7" borderId="65" xfId="0" applyNumberFormat="1" applyFill="1" applyBorder="1" applyProtection="1">
      <protection hidden="1"/>
    </xf>
    <xf numFmtId="0" fontId="44" fillId="9" borderId="35" xfId="0" applyFont="1" applyFill="1" applyBorder="1" applyAlignment="1"/>
    <xf numFmtId="166" fontId="31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28" fillId="2" borderId="61" xfId="0" applyFont="1" applyFill="1" applyBorder="1" applyAlignment="1" applyProtection="1">
      <alignment horizontal="center"/>
      <protection hidden="1"/>
    </xf>
    <xf numFmtId="0" fontId="28" fillId="2" borderId="33" xfId="0" applyFont="1" applyFill="1" applyBorder="1" applyAlignment="1" applyProtection="1">
      <alignment horizontal="center"/>
      <protection hidden="1"/>
    </xf>
    <xf numFmtId="0" fontId="28" fillId="2" borderId="60" xfId="0" applyFont="1" applyFill="1" applyBorder="1" applyAlignment="1" applyProtection="1">
      <alignment horizontal="center"/>
      <protection hidden="1"/>
    </xf>
    <xf numFmtId="0" fontId="28" fillId="2" borderId="8" xfId="0" applyFont="1" applyFill="1" applyBorder="1" applyAlignment="1" applyProtection="1">
      <alignment vertical="center" wrapText="1"/>
      <protection hidden="1"/>
    </xf>
    <xf numFmtId="166" fontId="7" fillId="0" borderId="8" xfId="0" applyNumberFormat="1" applyFont="1" applyFill="1" applyBorder="1" applyAlignment="1" applyProtection="1">
      <alignment horizontal="center"/>
      <protection hidden="1"/>
    </xf>
    <xf numFmtId="0" fontId="31" fillId="0" borderId="14" xfId="0" applyFont="1" applyFill="1" applyBorder="1" applyAlignment="1" applyProtection="1">
      <alignment horizontal="center" vertical="center" textRotation="90"/>
      <protection hidden="1"/>
    </xf>
    <xf numFmtId="0" fontId="31" fillId="0" borderId="40" xfId="0" applyFont="1" applyFill="1" applyBorder="1" applyAlignment="1" applyProtection="1">
      <alignment horizontal="center" vertical="center"/>
      <protection hidden="1"/>
    </xf>
    <xf numFmtId="0" fontId="31" fillId="0" borderId="36" xfId="0" applyFont="1" applyFill="1" applyBorder="1" applyAlignment="1" applyProtection="1">
      <alignment horizontal="center" vertical="center" textRotation="90"/>
      <protection hidden="1"/>
    </xf>
    <xf numFmtId="0" fontId="31" fillId="0" borderId="14" xfId="0" applyFont="1" applyFill="1" applyBorder="1" applyAlignment="1" applyProtection="1">
      <alignment horizontal="center" vertical="center" wrapText="1"/>
      <protection hidden="1"/>
    </xf>
    <xf numFmtId="166" fontId="7" fillId="0" borderId="12" xfId="0" applyNumberFormat="1" applyFont="1" applyFill="1" applyBorder="1" applyAlignment="1" applyProtection="1">
      <alignment horizontal="center"/>
      <protection hidden="1"/>
    </xf>
    <xf numFmtId="166" fontId="48" fillId="20" borderId="67" xfId="0" applyNumberFormat="1" applyFont="1" applyFill="1" applyBorder="1" applyAlignment="1" applyProtection="1">
      <alignment horizontal="center" vertical="center"/>
      <protection hidden="1"/>
    </xf>
    <xf numFmtId="166" fontId="48" fillId="20" borderId="68" xfId="0" applyNumberFormat="1" applyFont="1" applyFill="1" applyBorder="1" applyAlignment="1" applyProtection="1">
      <alignment horizontal="center" vertical="center"/>
      <protection hidden="1"/>
    </xf>
    <xf numFmtId="0" fontId="31" fillId="19" borderId="25" xfId="0" applyFont="1" applyFill="1" applyBorder="1" applyAlignment="1" applyProtection="1">
      <alignment vertical="center" wrapText="1"/>
      <protection hidden="1"/>
    </xf>
    <xf numFmtId="0" fontId="31" fillId="0" borderId="22" xfId="0" applyFont="1" applyFill="1" applyBorder="1" applyAlignment="1" applyProtection="1">
      <alignment horizontal="center" vertical="center" wrapText="1"/>
      <protection hidden="1"/>
    </xf>
    <xf numFmtId="0" fontId="0" fillId="2" borderId="30" xfId="0" applyFill="1" applyBorder="1" applyProtection="1">
      <protection hidden="1"/>
    </xf>
    <xf numFmtId="166" fontId="0" fillId="7" borderId="4" xfId="0" applyNumberFormat="1" applyFill="1" applyBorder="1" applyProtection="1">
      <protection hidden="1"/>
    </xf>
    <xf numFmtId="0" fontId="0" fillId="2" borderId="67" xfId="0" applyFill="1" applyBorder="1" applyProtection="1">
      <protection hidden="1"/>
    </xf>
    <xf numFmtId="0" fontId="7" fillId="0" borderId="8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center"/>
      <protection hidden="1"/>
    </xf>
    <xf numFmtId="166" fontId="7" fillId="0" borderId="8" xfId="0" applyNumberFormat="1" applyFont="1" applyFill="1" applyBorder="1" applyProtection="1">
      <protection hidden="1"/>
    </xf>
    <xf numFmtId="166" fontId="7" fillId="0" borderId="12" xfId="0" applyNumberFormat="1" applyFont="1" applyFill="1" applyBorder="1" applyProtection="1">
      <protection hidden="1"/>
    </xf>
    <xf numFmtId="0" fontId="31" fillId="2" borderId="8" xfId="0" applyFont="1" applyFill="1" applyBorder="1" applyAlignment="1" applyProtection="1">
      <alignment vertical="center" wrapText="1"/>
      <protection hidden="1"/>
    </xf>
    <xf numFmtId="0" fontId="31" fillId="2" borderId="12" xfId="0" applyFont="1" applyFill="1" applyBorder="1" applyAlignment="1" applyProtection="1">
      <alignment vertical="center" wrapText="1"/>
      <protection hidden="1"/>
    </xf>
    <xf numFmtId="0" fontId="10" fillId="0" borderId="8" xfId="1" applyFont="1" applyBorder="1" applyAlignment="1">
      <alignment horizontal="center" vertical="center" wrapText="1"/>
    </xf>
    <xf numFmtId="0" fontId="39" fillId="5" borderId="0" xfId="0" applyFont="1" applyFill="1"/>
    <xf numFmtId="9" fontId="10" fillId="0" borderId="8" xfId="1" applyNumberFormat="1" applyBorder="1" applyAlignment="1">
      <alignment horizontal="center" vertical="center"/>
    </xf>
    <xf numFmtId="0" fontId="28" fillId="5" borderId="0" xfId="0" applyFont="1" applyFill="1" applyProtection="1">
      <protection hidden="1"/>
    </xf>
    <xf numFmtId="0" fontId="28" fillId="5" borderId="0" xfId="0" applyFont="1" applyFill="1" applyAlignment="1" applyProtection="1">
      <protection hidden="1"/>
    </xf>
    <xf numFmtId="0" fontId="28" fillId="5" borderId="0" xfId="0" applyFont="1" applyFill="1" applyBorder="1" applyAlignment="1" applyProtection="1">
      <protection hidden="1"/>
    </xf>
    <xf numFmtId="0" fontId="34" fillId="5" borderId="0" xfId="0" applyFont="1" applyFill="1" applyBorder="1" applyAlignment="1" applyProtection="1">
      <alignment horizontal="center" vertical="center" wrapText="1"/>
      <protection hidden="1"/>
    </xf>
    <xf numFmtId="0" fontId="30" fillId="5" borderId="0" xfId="0" applyFont="1" applyFill="1" applyBorder="1" applyAlignment="1" applyProtection="1">
      <protection hidden="1"/>
    </xf>
    <xf numFmtId="0" fontId="31" fillId="5" borderId="0" xfId="0" applyFont="1" applyFill="1" applyBorder="1" applyAlignment="1" applyProtection="1">
      <alignment horizontal="left" wrapText="1"/>
      <protection hidden="1"/>
    </xf>
    <xf numFmtId="0" fontId="28" fillId="5" borderId="0" xfId="0" applyFont="1" applyFill="1" applyAlignment="1" applyProtection="1">
      <alignment wrapText="1"/>
      <protection hidden="1"/>
    </xf>
    <xf numFmtId="0" fontId="31" fillId="5" borderId="0" xfId="0" applyFont="1" applyFill="1" applyBorder="1" applyAlignment="1" applyProtection="1">
      <alignment horizontal="right"/>
      <protection hidden="1"/>
    </xf>
    <xf numFmtId="0" fontId="33" fillId="5" borderId="6" xfId="0" applyFont="1" applyFill="1" applyBorder="1" applyAlignment="1" applyProtection="1">
      <alignment horizontal="center"/>
      <protection hidden="1"/>
    </xf>
    <xf numFmtId="0" fontId="28" fillId="5" borderId="0" xfId="0" applyFont="1" applyFill="1" applyBorder="1" applyAlignment="1" applyProtection="1">
      <alignment wrapText="1"/>
      <protection locked="0"/>
    </xf>
    <xf numFmtId="0" fontId="28" fillId="2" borderId="30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2" borderId="24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2" borderId="17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2" borderId="20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2" borderId="18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2" borderId="28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2" borderId="29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2" borderId="63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2" borderId="38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2" borderId="59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18" borderId="48" xfId="0" applyFont="1" applyFill="1" applyBorder="1" applyAlignment="1">
      <alignment horizontal="center" vertical="center" wrapText="1"/>
    </xf>
    <xf numFmtId="0" fontId="28" fillId="2" borderId="26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2" borderId="27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0" borderId="21" xfId="0" applyFont="1" applyFill="1" applyBorder="1" applyAlignment="1">
      <alignment horizontal="center" vertical="center" wrapText="1"/>
    </xf>
    <xf numFmtId="0" fontId="0" fillId="2" borderId="22" xfId="0" applyFill="1" applyBorder="1" applyProtection="1">
      <protection hidden="1"/>
    </xf>
    <xf numFmtId="0" fontId="28" fillId="0" borderId="16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hidden="1"/>
    </xf>
    <xf numFmtId="0" fontId="28" fillId="0" borderId="17" xfId="0" applyFont="1" applyFill="1" applyBorder="1" applyAlignment="1">
      <alignment horizontal="center" vertical="center" wrapText="1"/>
    </xf>
    <xf numFmtId="0" fontId="0" fillId="2" borderId="18" xfId="0" applyFill="1" applyBorder="1" applyProtection="1">
      <protection hidden="1"/>
    </xf>
    <xf numFmtId="0" fontId="28" fillId="5" borderId="0" xfId="0" applyFont="1" applyFill="1" applyBorder="1" applyProtection="1">
      <protection hidden="1"/>
    </xf>
    <xf numFmtId="0" fontId="33" fillId="5" borderId="0" xfId="0" applyFont="1" applyFill="1" applyBorder="1" applyAlignment="1" applyProtection="1">
      <alignment horizontal="right"/>
      <protection hidden="1"/>
    </xf>
    <xf numFmtId="0" fontId="31" fillId="5" borderId="3" xfId="0" applyFont="1" applyFill="1" applyBorder="1" applyAlignment="1" applyProtection="1">
      <alignment horizontal="center" vertical="center"/>
      <protection locked="0" hidden="1"/>
    </xf>
    <xf numFmtId="0" fontId="35" fillId="5" borderId="0" xfId="0" applyFont="1" applyFill="1" applyBorder="1" applyAlignment="1" applyProtection="1">
      <protection hidden="1"/>
    </xf>
    <xf numFmtId="0" fontId="33" fillId="5" borderId="0" xfId="0" applyFont="1" applyFill="1" applyBorder="1" applyAlignment="1" applyProtection="1">
      <protection hidden="1"/>
    </xf>
    <xf numFmtId="166" fontId="43" fillId="2" borderId="11" xfId="2" applyNumberFormat="1" applyFont="1" applyFill="1" applyBorder="1" applyProtection="1">
      <protection hidden="1"/>
    </xf>
    <xf numFmtId="0" fontId="28" fillId="0" borderId="30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15" borderId="28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15" borderId="30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8" borderId="26" xfId="0" applyNumberFormat="1" applyFont="1" applyFill="1" applyBorder="1" applyAlignment="1" applyProtection="1">
      <alignment horizontal="center" vertical="center" wrapText="1"/>
      <protection locked="0" hidden="1"/>
    </xf>
    <xf numFmtId="9" fontId="31" fillId="7" borderId="30" xfId="0" applyNumberFormat="1" applyFont="1" applyFill="1" applyBorder="1" applyAlignment="1" applyProtection="1">
      <alignment horizontal="center" vertical="center" wrapText="1"/>
      <protection hidden="1"/>
    </xf>
    <xf numFmtId="0" fontId="7" fillId="7" borderId="30" xfId="0" applyFont="1" applyFill="1" applyBorder="1" applyAlignment="1" applyProtection="1">
      <alignment horizontal="center"/>
      <protection hidden="1"/>
    </xf>
    <xf numFmtId="0" fontId="7" fillId="7" borderId="24" xfId="0" applyNumberFormat="1" applyFont="1" applyFill="1" applyBorder="1" applyAlignment="1" applyProtection="1">
      <alignment horizontal="center"/>
      <protection hidden="1"/>
    </xf>
    <xf numFmtId="0" fontId="7" fillId="7" borderId="15" xfId="0" applyNumberFormat="1" applyFont="1" applyFill="1" applyBorder="1" applyAlignment="1" applyProtection="1">
      <alignment horizontal="center"/>
      <protection hidden="1"/>
    </xf>
    <xf numFmtId="0" fontId="28" fillId="0" borderId="20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15" borderId="62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15" borderId="32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21" borderId="23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21" borderId="24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21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21" borderId="15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21" borderId="17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21" borderId="18" xfId="0" applyNumberFormat="1" applyFont="1" applyFill="1" applyBorder="1" applyAlignment="1" applyProtection="1">
      <alignment horizontal="center" vertical="center" wrapText="1"/>
      <protection locked="0" hidden="1"/>
    </xf>
    <xf numFmtId="0" fontId="31" fillId="21" borderId="31" xfId="0" applyFont="1" applyFill="1" applyBorder="1" applyAlignment="1">
      <alignment horizontal="center" vertical="center" wrapText="1"/>
    </xf>
    <xf numFmtId="0" fontId="31" fillId="21" borderId="25" xfId="0" applyFont="1" applyFill="1" applyBorder="1" applyAlignment="1">
      <alignment horizontal="center" vertical="center" wrapText="1"/>
    </xf>
    <xf numFmtId="0" fontId="33" fillId="22" borderId="42" xfId="0" applyFont="1" applyFill="1" applyBorder="1" applyAlignment="1" applyProtection="1">
      <alignment horizontal="center" vertical="center" wrapText="1"/>
      <protection hidden="1"/>
    </xf>
    <xf numFmtId="0" fontId="31" fillId="22" borderId="69" xfId="0" applyFont="1" applyFill="1" applyBorder="1" applyAlignment="1">
      <alignment horizontal="center" vertical="center" wrapText="1"/>
    </xf>
    <xf numFmtId="0" fontId="31" fillId="22" borderId="63" xfId="0" applyFont="1" applyFill="1" applyBorder="1" applyAlignment="1">
      <alignment horizontal="center" vertical="center" wrapText="1"/>
    </xf>
    <xf numFmtId="0" fontId="31" fillId="22" borderId="38" xfId="0" applyFont="1" applyFill="1" applyBorder="1" applyAlignment="1">
      <alignment horizontal="center" vertical="center" wrapText="1"/>
    </xf>
    <xf numFmtId="0" fontId="45" fillId="22" borderId="42" xfId="0" applyFont="1" applyFill="1" applyBorder="1" applyAlignment="1">
      <alignment horizontal="center" vertical="center" wrapText="1"/>
    </xf>
    <xf numFmtId="0" fontId="45" fillId="22" borderId="38" xfId="0" applyFont="1" applyFill="1" applyBorder="1" applyAlignment="1">
      <alignment horizontal="center" vertical="center" wrapText="1"/>
    </xf>
    <xf numFmtId="0" fontId="28" fillId="22" borderId="63" xfId="0" applyNumberFormat="1" applyFont="1" applyFill="1" applyBorder="1" applyAlignment="1" applyProtection="1">
      <alignment horizontal="center" vertical="center" wrapText="1"/>
      <protection locked="0" hidden="1"/>
    </xf>
    <xf numFmtId="0" fontId="31" fillId="4" borderId="62" xfId="0" applyFont="1" applyFill="1" applyBorder="1" applyAlignment="1">
      <alignment horizontal="center" vertical="center" wrapText="1"/>
    </xf>
    <xf numFmtId="0" fontId="31" fillId="4" borderId="32" xfId="0" applyFont="1" applyFill="1" applyBorder="1" applyAlignment="1">
      <alignment horizontal="center" vertical="center" wrapText="1"/>
    </xf>
    <xf numFmtId="0" fontId="31" fillId="4" borderId="58" xfId="0" applyFont="1" applyFill="1" applyBorder="1" applyAlignment="1">
      <alignment horizontal="center" vertical="center" wrapText="1"/>
    </xf>
    <xf numFmtId="0" fontId="44" fillId="7" borderId="35" xfId="0" applyFont="1" applyFill="1" applyBorder="1" applyAlignment="1" applyProtection="1">
      <alignment horizontal="center" vertical="center"/>
      <protection hidden="1"/>
    </xf>
    <xf numFmtId="165" fontId="44" fillId="7" borderId="12" xfId="0" applyNumberFormat="1" applyFont="1" applyFill="1" applyBorder="1" applyAlignment="1" applyProtection="1">
      <alignment horizontal="center" vertical="center" wrapText="1"/>
      <protection hidden="1"/>
    </xf>
    <xf numFmtId="166" fontId="46" fillId="7" borderId="12" xfId="0" applyNumberFormat="1" applyFont="1" applyFill="1" applyBorder="1" applyAlignment="1" applyProtection="1">
      <alignment horizontal="center" vertical="center"/>
      <protection hidden="1"/>
    </xf>
    <xf numFmtId="0" fontId="31" fillId="7" borderId="23" xfId="0" applyNumberFormat="1" applyFont="1" applyFill="1" applyBorder="1" applyAlignment="1" applyProtection="1">
      <alignment horizontal="center" vertical="center" wrapText="1"/>
      <protection hidden="1"/>
    </xf>
    <xf numFmtId="0" fontId="31" fillId="7" borderId="16" xfId="0" applyNumberFormat="1" applyFont="1" applyFill="1" applyBorder="1" applyAlignment="1" applyProtection="1">
      <alignment horizontal="center" vertical="center" wrapText="1"/>
      <protection hidden="1"/>
    </xf>
    <xf numFmtId="0" fontId="36" fillId="5" borderId="6" xfId="1" applyFont="1" applyFill="1" applyBorder="1" applyAlignment="1">
      <alignment vertical="center" wrapText="1"/>
    </xf>
    <xf numFmtId="0" fontId="36" fillId="7" borderId="0" xfId="1" applyFont="1" applyFill="1" applyBorder="1" applyAlignment="1">
      <alignment horizontal="right" vertical="center" wrapText="1"/>
    </xf>
    <xf numFmtId="0" fontId="27" fillId="0" borderId="0" xfId="1" applyFont="1" applyFill="1" applyBorder="1" applyAlignment="1">
      <alignment horizontal="center" vertical="center"/>
    </xf>
    <xf numFmtId="0" fontId="36" fillId="0" borderId="0" xfId="1" applyFont="1" applyFill="1" applyBorder="1" applyAlignment="1">
      <alignment horizontal="center" vertical="center" wrapText="1"/>
    </xf>
    <xf numFmtId="0" fontId="36" fillId="0" borderId="0" xfId="1" applyFont="1" applyFill="1" applyBorder="1" applyAlignment="1">
      <alignment vertical="center" wrapText="1"/>
    </xf>
    <xf numFmtId="0" fontId="36" fillId="0" borderId="0" xfId="1" applyFont="1" applyFill="1" applyBorder="1" applyAlignment="1">
      <alignment horizontal="right" vertical="center" wrapText="1"/>
    </xf>
    <xf numFmtId="0" fontId="10" fillId="0" borderId="0" xfId="1" applyFill="1"/>
    <xf numFmtId="49" fontId="7" fillId="0" borderId="0" xfId="1" applyNumberFormat="1" applyFont="1" applyFill="1" applyAlignment="1">
      <alignment vertical="center"/>
    </xf>
    <xf numFmtId="49" fontId="7" fillId="5" borderId="9" xfId="1" applyNumberFormat="1" applyFont="1" applyFill="1" applyBorder="1" applyAlignment="1">
      <alignment horizontal="center" vertical="center"/>
    </xf>
    <xf numFmtId="0" fontId="45" fillId="9" borderId="35" xfId="0" applyFont="1" applyFill="1" applyBorder="1" applyAlignment="1">
      <alignment horizontal="center" vertical="center" wrapText="1"/>
    </xf>
    <xf numFmtId="0" fontId="45" fillId="9" borderId="39" xfId="0" applyFont="1" applyFill="1" applyBorder="1" applyAlignment="1">
      <alignment horizontal="center" vertical="center" wrapText="1"/>
    </xf>
    <xf numFmtId="0" fontId="45" fillId="9" borderId="46" xfId="0" applyFont="1" applyFill="1" applyBorder="1" applyAlignment="1">
      <alignment horizontal="center" vertical="center" wrapText="1"/>
    </xf>
    <xf numFmtId="0" fontId="45" fillId="9" borderId="12" xfId="0" applyFont="1" applyFill="1" applyBorder="1" applyAlignment="1">
      <alignment horizontal="center" vertical="center" wrapText="1"/>
    </xf>
    <xf numFmtId="0" fontId="45" fillId="9" borderId="34" xfId="0" applyFont="1" applyFill="1" applyBorder="1" applyAlignment="1">
      <alignment horizontal="center" vertical="center" wrapText="1"/>
    </xf>
    <xf numFmtId="0" fontId="45" fillId="22" borderId="70" xfId="0" applyFont="1" applyFill="1" applyBorder="1" applyAlignment="1">
      <alignment horizontal="center" vertical="center" wrapText="1"/>
    </xf>
    <xf numFmtId="0" fontId="28" fillId="22" borderId="38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22" borderId="59" xfId="0" applyNumberFormat="1" applyFont="1" applyFill="1" applyBorder="1" applyAlignment="1" applyProtection="1">
      <alignment horizontal="center" vertical="center" wrapText="1"/>
      <protection locked="0"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31" fillId="0" borderId="0" xfId="0" applyFont="1" applyFill="1" applyBorder="1" applyAlignment="1" applyProtection="1">
      <alignment horizontal="right" vertical="center" wrapText="1"/>
      <protection hidden="1"/>
    </xf>
    <xf numFmtId="0" fontId="28" fillId="0" borderId="0" xfId="0" applyFont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33" fillId="0" borderId="9" xfId="0" applyFont="1" applyFill="1" applyBorder="1" applyAlignment="1" applyProtection="1">
      <alignment horizontal="center"/>
      <protection hidden="1"/>
    </xf>
    <xf numFmtId="0" fontId="28" fillId="0" borderId="9" xfId="0" applyFont="1" applyBorder="1" applyAlignment="1">
      <alignment horizontal="center"/>
    </xf>
    <xf numFmtId="0" fontId="28" fillId="0" borderId="4" xfId="0" applyFont="1" applyBorder="1" applyAlignment="1">
      <alignment vertical="center" wrapText="1"/>
    </xf>
    <xf numFmtId="0" fontId="28" fillId="0" borderId="1" xfId="0" applyFont="1" applyBorder="1" applyAlignment="1" applyProtection="1">
      <alignment horizontal="center" vertical="center" wrapText="1"/>
      <protection locked="0" hidden="1"/>
    </xf>
    <xf numFmtId="0" fontId="28" fillId="0" borderId="44" xfId="0" applyFont="1" applyBorder="1" applyAlignment="1" applyProtection="1">
      <alignment horizontal="center" vertical="center" wrapText="1"/>
      <protection locked="0"/>
    </xf>
    <xf numFmtId="0" fontId="28" fillId="0" borderId="45" xfId="0" applyFont="1" applyBorder="1" applyAlignment="1" applyProtection="1">
      <alignment horizontal="center" vertical="center" wrapText="1"/>
      <protection locked="0"/>
    </xf>
    <xf numFmtId="0" fontId="28" fillId="4" borderId="12" xfId="0" applyFont="1" applyFill="1" applyBorder="1" applyAlignment="1" applyProtection="1">
      <alignment horizontal="center" vertical="center" textRotation="90" wrapText="1"/>
      <protection hidden="1"/>
    </xf>
    <xf numFmtId="0" fontId="28" fillId="4" borderId="13" xfId="0" applyFont="1" applyFill="1" applyBorder="1" applyAlignment="1" applyProtection="1">
      <alignment horizontal="center" vertical="center" textRotation="90" wrapText="1"/>
      <protection hidden="1"/>
    </xf>
    <xf numFmtId="0" fontId="28" fillId="4" borderId="14" xfId="0" applyFont="1" applyFill="1" applyBorder="1" applyAlignment="1" applyProtection="1">
      <alignment horizontal="center" vertical="center" textRotation="90" wrapText="1"/>
      <protection hidden="1"/>
    </xf>
    <xf numFmtId="0" fontId="28" fillId="4" borderId="8" xfId="0" applyFont="1" applyFill="1" applyBorder="1" applyAlignment="1" applyProtection="1">
      <alignment horizontal="center" vertical="center"/>
      <protection hidden="1"/>
    </xf>
    <xf numFmtId="0" fontId="28" fillId="4" borderId="12" xfId="0" applyFont="1" applyFill="1" applyBorder="1" applyAlignment="1" applyProtection="1">
      <alignment horizontal="center" vertical="center" wrapText="1"/>
      <protection hidden="1"/>
    </xf>
    <xf numFmtId="0" fontId="28" fillId="4" borderId="13" xfId="0" applyFont="1" applyFill="1" applyBorder="1" applyAlignment="1" applyProtection="1">
      <alignment horizontal="center" wrapText="1"/>
      <protection hidden="1"/>
    </xf>
    <xf numFmtId="0" fontId="28" fillId="4" borderId="14" xfId="0" applyFont="1" applyFill="1" applyBorder="1" applyAlignment="1" applyProtection="1">
      <alignment horizontal="center" wrapText="1"/>
      <protection hidden="1"/>
    </xf>
    <xf numFmtId="0" fontId="28" fillId="4" borderId="34" xfId="0" applyFont="1" applyFill="1" applyBorder="1" applyAlignment="1" applyProtection="1">
      <alignment horizontal="center" vertical="center"/>
      <protection hidden="1"/>
    </xf>
    <xf numFmtId="0" fontId="28" fillId="4" borderId="46" xfId="0" applyFont="1" applyFill="1" applyBorder="1" applyAlignment="1" applyProtection="1">
      <alignment horizontal="center" vertical="center"/>
      <protection hidden="1"/>
    </xf>
    <xf numFmtId="0" fontId="28" fillId="4" borderId="41" xfId="0" applyFont="1" applyFill="1" applyBorder="1" applyAlignment="1" applyProtection="1">
      <alignment horizontal="center" vertical="center"/>
      <protection hidden="1"/>
    </xf>
    <xf numFmtId="0" fontId="28" fillId="4" borderId="47" xfId="0" applyFont="1" applyFill="1" applyBorder="1" applyAlignment="1" applyProtection="1">
      <alignment horizontal="center" vertical="center"/>
      <protection hidden="1"/>
    </xf>
    <xf numFmtId="0" fontId="28" fillId="4" borderId="40" xfId="0" applyFont="1" applyFill="1" applyBorder="1" applyAlignment="1" applyProtection="1">
      <alignment horizontal="center" vertical="center"/>
      <protection hidden="1"/>
    </xf>
    <xf numFmtId="0" fontId="28" fillId="4" borderId="37" xfId="0" applyFont="1" applyFill="1" applyBorder="1" applyAlignment="1" applyProtection="1">
      <alignment horizontal="center" vertical="center"/>
      <protection hidden="1"/>
    </xf>
    <xf numFmtId="0" fontId="28" fillId="4" borderId="13" xfId="0" applyFont="1" applyFill="1" applyBorder="1" applyAlignment="1">
      <alignment horizontal="center" vertical="center" wrapText="1"/>
    </xf>
    <xf numFmtId="0" fontId="28" fillId="4" borderId="14" xfId="0" applyFont="1" applyFill="1" applyBorder="1" applyAlignment="1">
      <alignment horizontal="center" vertical="center" wrapText="1"/>
    </xf>
    <xf numFmtId="0" fontId="28" fillId="4" borderId="12" xfId="0" applyFont="1" applyFill="1" applyBorder="1" applyAlignment="1" applyProtection="1">
      <alignment horizontal="center" vertical="center" wrapText="1"/>
      <protection locked="0" hidden="1"/>
    </xf>
    <xf numFmtId="0" fontId="28" fillId="4" borderId="13" xfId="0" applyFont="1" applyFill="1" applyBorder="1" applyAlignment="1" applyProtection="1">
      <alignment horizontal="center" vertical="center" wrapText="1"/>
      <protection locked="0" hidden="1"/>
    </xf>
    <xf numFmtId="0" fontId="28" fillId="4" borderId="14" xfId="0" applyFont="1" applyFill="1" applyBorder="1" applyAlignment="1" applyProtection="1">
      <alignment horizontal="center" vertical="center" wrapText="1"/>
      <protection locked="0" hidden="1"/>
    </xf>
    <xf numFmtId="0" fontId="28" fillId="4" borderId="8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Border="1" applyAlignment="1" applyProtection="1">
      <alignment horizontal="right" vertical="center" wrapText="1"/>
      <protection hidden="1"/>
    </xf>
    <xf numFmtId="0" fontId="11" fillId="0" borderId="4" xfId="0" applyFont="1" applyBorder="1" applyAlignment="1">
      <alignment horizontal="right" vertical="center" wrapText="1"/>
    </xf>
    <xf numFmtId="0" fontId="6" fillId="3" borderId="48" xfId="0" applyFont="1" applyFill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0" fillId="2" borderId="48" xfId="0" applyFill="1" applyBorder="1" applyAlignment="1" applyProtection="1">
      <alignment horizontal="center"/>
      <protection locked="0"/>
    </xf>
    <xf numFmtId="0" fontId="0" fillId="0" borderId="44" xfId="0" applyBorder="1" applyAlignment="1" applyProtection="1">
      <protection locked="0"/>
    </xf>
    <xf numFmtId="0" fontId="0" fillId="0" borderId="45" xfId="0" applyBorder="1" applyAlignment="1" applyProtection="1">
      <protection locked="0"/>
    </xf>
    <xf numFmtId="0" fontId="13" fillId="2" borderId="49" xfId="0" applyFont="1" applyFill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0" fillId="2" borderId="0" xfId="0" applyFill="1" applyAlignment="1"/>
    <xf numFmtId="0" fontId="0" fillId="2" borderId="4" xfId="0" applyFill="1" applyBorder="1" applyAlignment="1"/>
    <xf numFmtId="0" fontId="0" fillId="2" borderId="48" xfId="0" applyFill="1" applyBorder="1" applyAlignment="1" applyProtection="1">
      <alignment horizontal="center" wrapText="1"/>
      <protection locked="0"/>
    </xf>
    <xf numFmtId="0" fontId="0" fillId="0" borderId="44" xfId="0" applyBorder="1" applyAlignment="1" applyProtection="1">
      <alignment wrapText="1"/>
      <protection locked="0"/>
    </xf>
    <xf numFmtId="0" fontId="0" fillId="0" borderId="45" xfId="0" applyBorder="1" applyAlignment="1" applyProtection="1">
      <alignment wrapText="1"/>
      <protection locked="0"/>
    </xf>
    <xf numFmtId="0" fontId="0" fillId="0" borderId="0" xfId="0" applyAlignment="1"/>
    <xf numFmtId="0" fontId="0" fillId="0" borderId="4" xfId="0" applyBorder="1" applyAlignment="1"/>
    <xf numFmtId="0" fontId="0" fillId="2" borderId="48" xfId="0" applyFill="1" applyBorder="1" applyAlignment="1" applyProtection="1">
      <alignment horizontal="center" vertical="top" wrapText="1"/>
      <protection locked="0"/>
    </xf>
    <xf numFmtId="0" fontId="0" fillId="0" borderId="44" xfId="0" applyBorder="1" applyAlignment="1" applyProtection="1">
      <alignment vertical="top" wrapText="1"/>
      <protection locked="0"/>
    </xf>
    <xf numFmtId="0" fontId="0" fillId="0" borderId="45" xfId="0" applyBorder="1" applyAlignment="1" applyProtection="1">
      <alignment vertical="top" wrapText="1"/>
      <protection locked="0"/>
    </xf>
    <xf numFmtId="164" fontId="0" fillId="2" borderId="48" xfId="0" applyNumberFormat="1" applyFill="1" applyBorder="1" applyAlignment="1" applyProtection="1">
      <alignment horizontal="center"/>
      <protection locked="0"/>
    </xf>
    <xf numFmtId="164" fontId="0" fillId="0" borderId="45" xfId="0" applyNumberFormat="1" applyBorder="1" applyAlignment="1" applyProtection="1">
      <protection locked="0"/>
    </xf>
    <xf numFmtId="0" fontId="0" fillId="2" borderId="44" xfId="0" applyFill="1" applyBorder="1" applyAlignment="1" applyProtection="1">
      <protection locked="0"/>
    </xf>
    <xf numFmtId="0" fontId="33" fillId="5" borderId="19" xfId="0" applyFont="1" applyFill="1" applyBorder="1" applyAlignment="1" applyProtection="1">
      <alignment horizontal="center" vertical="center" wrapText="1"/>
      <protection hidden="1"/>
    </xf>
    <xf numFmtId="0" fontId="33" fillId="5" borderId="10" xfId="0" applyFont="1" applyFill="1" applyBorder="1" applyAlignment="1" applyProtection="1">
      <alignment horizontal="center" vertical="center" wrapText="1"/>
      <protection hidden="1"/>
    </xf>
    <xf numFmtId="0" fontId="33" fillId="5" borderId="11" xfId="0" applyFont="1" applyFill="1" applyBorder="1" applyAlignment="1" applyProtection="1">
      <alignment horizontal="center" vertical="center" wrapText="1"/>
      <protection hidden="1"/>
    </xf>
    <xf numFmtId="0" fontId="29" fillId="5" borderId="0" xfId="0" applyFont="1" applyFill="1" applyBorder="1" applyAlignment="1" applyProtection="1">
      <alignment horizontal="center" vertical="center" wrapText="1"/>
      <protection hidden="1"/>
    </xf>
    <xf numFmtId="0" fontId="29" fillId="5" borderId="47" xfId="0" applyFont="1" applyFill="1" applyBorder="1" applyAlignment="1" applyProtection="1">
      <alignment horizontal="center" vertical="center" wrapText="1"/>
      <protection hidden="1"/>
    </xf>
    <xf numFmtId="0" fontId="29" fillId="5" borderId="0" xfId="0" applyFont="1" applyFill="1" applyBorder="1" applyAlignment="1" applyProtection="1">
      <alignment horizontal="right" vertical="center" wrapText="1"/>
      <protection hidden="1"/>
    </xf>
    <xf numFmtId="0" fontId="28" fillId="5" borderId="0" xfId="0" applyFont="1" applyFill="1" applyBorder="1" applyAlignment="1"/>
    <xf numFmtId="0" fontId="33" fillId="4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/>
    <xf numFmtId="0" fontId="28" fillId="5" borderId="9" xfId="0" applyFont="1" applyFill="1" applyBorder="1" applyAlignment="1" applyProtection="1">
      <alignment horizontal="center" wrapText="1"/>
      <protection hidden="1"/>
    </xf>
    <xf numFmtId="0" fontId="33" fillId="0" borderId="0" xfId="0" applyFont="1" applyFill="1" applyBorder="1" applyAlignment="1" applyProtection="1">
      <alignment horizontal="center"/>
      <protection hidden="1"/>
    </xf>
    <xf numFmtId="0" fontId="29" fillId="5" borderId="0" xfId="0" applyFont="1" applyFill="1" applyBorder="1" applyAlignment="1" applyProtection="1">
      <alignment horizontal="center" vertical="center"/>
      <protection hidden="1"/>
    </xf>
    <xf numFmtId="0" fontId="31" fillId="4" borderId="8" xfId="0" applyFont="1" applyFill="1" applyBorder="1" applyAlignment="1" applyProtection="1">
      <alignment horizontal="center" vertical="center" wrapText="1"/>
      <protection hidden="1"/>
    </xf>
    <xf numFmtId="0" fontId="31" fillId="4" borderId="12" xfId="0" applyFont="1" applyFill="1" applyBorder="1" applyAlignment="1" applyProtection="1">
      <alignment horizontal="center" vertical="center" wrapText="1"/>
      <protection hidden="1"/>
    </xf>
    <xf numFmtId="0" fontId="31" fillId="4" borderId="8" xfId="0" applyFont="1" applyFill="1" applyBorder="1" applyAlignment="1" applyProtection="1">
      <alignment horizontal="center" vertical="center" textRotation="90"/>
      <protection hidden="1"/>
    </xf>
    <xf numFmtId="0" fontId="31" fillId="4" borderId="12" xfId="0" applyFont="1" applyFill="1" applyBorder="1" applyAlignment="1" applyProtection="1">
      <alignment horizontal="center" vertical="center" textRotation="90"/>
      <protection hidden="1"/>
    </xf>
    <xf numFmtId="0" fontId="31" fillId="4" borderId="19" xfId="0" applyFont="1" applyFill="1" applyBorder="1" applyAlignment="1" applyProtection="1">
      <alignment horizontal="center" vertical="center"/>
      <protection hidden="1"/>
    </xf>
    <xf numFmtId="0" fontId="31" fillId="4" borderId="34" xfId="0" applyFont="1" applyFill="1" applyBorder="1" applyAlignment="1" applyProtection="1">
      <alignment horizontal="center" vertical="center"/>
      <protection hidden="1"/>
    </xf>
    <xf numFmtId="0" fontId="28" fillId="4" borderId="3" xfId="0" applyFont="1" applyFill="1" applyBorder="1" applyAlignment="1">
      <alignment horizontal="center" vertical="center" wrapText="1"/>
    </xf>
    <xf numFmtId="14" fontId="31" fillId="5" borderId="6" xfId="0" applyNumberFormat="1" applyFont="1" applyFill="1" applyBorder="1" applyAlignment="1" applyProtection="1">
      <alignment horizontal="center" wrapText="1"/>
      <protection locked="0" hidden="1"/>
    </xf>
    <xf numFmtId="0" fontId="33" fillId="16" borderId="3" xfId="0" applyFont="1" applyFill="1" applyBorder="1" applyAlignment="1" applyProtection="1">
      <alignment horizontal="center" vertical="center" wrapText="1"/>
      <protection hidden="1"/>
    </xf>
    <xf numFmtId="0" fontId="0" fillId="16" borderId="3" xfId="0" applyFill="1" applyBorder="1" applyAlignment="1">
      <alignment horizontal="center" vertical="center" wrapText="1"/>
    </xf>
    <xf numFmtId="0" fontId="33" fillId="18" borderId="3" xfId="0" applyFont="1" applyFill="1" applyBorder="1" applyAlignment="1" applyProtection="1">
      <alignment horizontal="center" vertical="center" wrapText="1"/>
      <protection hidden="1"/>
    </xf>
    <xf numFmtId="0" fontId="0" fillId="18" borderId="3" xfId="0" applyFill="1" applyBorder="1" applyAlignment="1">
      <alignment horizontal="center" vertical="center" wrapText="1"/>
    </xf>
    <xf numFmtId="0" fontId="33" fillId="17" borderId="3" xfId="0" applyFont="1" applyFill="1" applyBorder="1" applyAlignment="1" applyProtection="1">
      <alignment horizontal="center" vertical="center" wrapText="1"/>
      <protection hidden="1"/>
    </xf>
    <xf numFmtId="0" fontId="33" fillId="2" borderId="19" xfId="0" applyFont="1" applyFill="1" applyBorder="1" applyAlignment="1" applyProtection="1">
      <alignment horizontal="center" vertical="center" wrapText="1"/>
      <protection hidden="1"/>
    </xf>
    <xf numFmtId="0" fontId="33" fillId="2" borderId="10" xfId="0" applyFont="1" applyFill="1" applyBorder="1" applyAlignment="1" applyProtection="1">
      <alignment horizontal="center" vertical="center" wrapText="1"/>
      <protection hidden="1"/>
    </xf>
    <xf numFmtId="0" fontId="33" fillId="2" borderId="11" xfId="0" applyFont="1" applyFill="1" applyBorder="1" applyAlignment="1" applyProtection="1">
      <alignment horizontal="center" vertical="center" wrapText="1"/>
      <protection hidden="1"/>
    </xf>
    <xf numFmtId="0" fontId="29" fillId="2" borderId="41" xfId="0" applyFont="1" applyFill="1" applyBorder="1" applyAlignment="1" applyProtection="1">
      <alignment horizontal="center" vertical="center" wrapText="1"/>
      <protection hidden="1"/>
    </xf>
    <xf numFmtId="0" fontId="29" fillId="2" borderId="0" xfId="0" applyFont="1" applyFill="1" applyBorder="1" applyAlignment="1" applyProtection="1">
      <alignment horizontal="center" vertical="center" wrapText="1"/>
      <protection hidden="1"/>
    </xf>
    <xf numFmtId="0" fontId="29" fillId="2" borderId="47" xfId="0" applyFont="1" applyFill="1" applyBorder="1" applyAlignment="1" applyProtection="1">
      <alignment horizontal="center" vertical="center" wrapText="1"/>
      <protection hidden="1"/>
    </xf>
    <xf numFmtId="0" fontId="33" fillId="2" borderId="8" xfId="0" applyFont="1" applyFill="1" applyBorder="1" applyAlignment="1" applyProtection="1">
      <alignment horizontal="center" vertical="center" wrapText="1"/>
      <protection hidden="1"/>
    </xf>
    <xf numFmtId="0" fontId="33" fillId="5" borderId="0" xfId="0" applyFont="1" applyFill="1" applyBorder="1" applyAlignment="1" applyProtection="1">
      <alignment horizontal="center"/>
      <protection hidden="1"/>
    </xf>
    <xf numFmtId="167" fontId="31" fillId="5" borderId="6" xfId="0" applyNumberFormat="1" applyFont="1" applyFill="1" applyBorder="1" applyAlignment="1" applyProtection="1">
      <alignment horizontal="center" wrapText="1"/>
      <protection locked="0" hidden="1"/>
    </xf>
    <xf numFmtId="0" fontId="29" fillId="2" borderId="0" xfId="0" applyFont="1" applyFill="1" applyBorder="1" applyAlignment="1" applyProtection="1">
      <alignment horizontal="center"/>
      <protection hidden="1"/>
    </xf>
    <xf numFmtId="0" fontId="37" fillId="2" borderId="6" xfId="0" applyFont="1" applyFill="1" applyBorder="1" applyAlignment="1" applyProtection="1">
      <alignment horizontal="center" wrapText="1"/>
      <protection hidden="1"/>
    </xf>
    <xf numFmtId="0" fontId="31" fillId="4" borderId="23" xfId="0" applyFont="1" applyFill="1" applyBorder="1" applyAlignment="1" applyProtection="1">
      <alignment horizontal="center" vertical="center" wrapText="1"/>
      <protection hidden="1"/>
    </xf>
    <xf numFmtId="0" fontId="31" fillId="4" borderId="16" xfId="0" applyFont="1" applyFill="1" applyBorder="1" applyAlignment="1" applyProtection="1">
      <alignment horizontal="center" vertical="center" wrapText="1"/>
      <protection hidden="1"/>
    </xf>
    <xf numFmtId="0" fontId="31" fillId="4" borderId="17" xfId="0" applyFont="1" applyFill="1" applyBorder="1" applyAlignment="1" applyProtection="1">
      <alignment horizontal="center" vertical="center" wrapText="1"/>
      <protection hidden="1"/>
    </xf>
    <xf numFmtId="0" fontId="31" fillId="4" borderId="30" xfId="0" applyFont="1" applyFill="1" applyBorder="1" applyAlignment="1" applyProtection="1">
      <alignment horizontal="center" vertical="center" textRotation="90"/>
      <protection hidden="1"/>
    </xf>
    <xf numFmtId="0" fontId="31" fillId="4" borderId="20" xfId="0" applyFont="1" applyFill="1" applyBorder="1" applyAlignment="1" applyProtection="1">
      <alignment horizontal="center" vertical="center" textRotation="90"/>
      <protection hidden="1"/>
    </xf>
    <xf numFmtId="0" fontId="31" fillId="7" borderId="30" xfId="0" applyFont="1" applyFill="1" applyBorder="1" applyAlignment="1" applyProtection="1">
      <alignment horizontal="center" vertical="center" textRotation="90" wrapText="1"/>
      <protection hidden="1"/>
    </xf>
    <xf numFmtId="0" fontId="31" fillId="7" borderId="8" xfId="0" applyFont="1" applyFill="1" applyBorder="1" applyAlignment="1" applyProtection="1">
      <alignment horizontal="center" vertical="center" textRotation="90" wrapText="1"/>
      <protection hidden="1"/>
    </xf>
    <xf numFmtId="0" fontId="31" fillId="7" borderId="12" xfId="0" applyFont="1" applyFill="1" applyBorder="1" applyAlignment="1" applyProtection="1">
      <alignment horizontal="center" vertical="center" textRotation="90" wrapText="1"/>
      <protection hidden="1"/>
    </xf>
    <xf numFmtId="0" fontId="31" fillId="7" borderId="28" xfId="0" applyFont="1" applyFill="1" applyBorder="1" applyAlignment="1" applyProtection="1">
      <alignment horizontal="center" vertical="center" textRotation="90" wrapText="1"/>
      <protection hidden="1"/>
    </xf>
    <xf numFmtId="0" fontId="31" fillId="7" borderId="11" xfId="0" applyFont="1" applyFill="1" applyBorder="1" applyAlignment="1" applyProtection="1">
      <alignment horizontal="center" vertical="center" textRotation="90" wrapText="1"/>
      <protection hidden="1"/>
    </xf>
    <xf numFmtId="0" fontId="31" fillId="7" borderId="35" xfId="0" applyFont="1" applyFill="1" applyBorder="1" applyAlignment="1" applyProtection="1">
      <alignment horizontal="center" vertical="center" textRotation="90" wrapText="1"/>
      <protection hidden="1"/>
    </xf>
    <xf numFmtId="0" fontId="31" fillId="4" borderId="24" xfId="0" applyFont="1" applyFill="1" applyBorder="1" applyAlignment="1" applyProtection="1">
      <alignment horizontal="center" vertical="center"/>
      <protection hidden="1"/>
    </xf>
    <xf numFmtId="0" fontId="31" fillId="4" borderId="15" xfId="0" applyFont="1" applyFill="1" applyBorder="1" applyAlignment="1" applyProtection="1">
      <alignment horizontal="center" vertical="center"/>
      <protection hidden="1"/>
    </xf>
    <xf numFmtId="0" fontId="31" fillId="4" borderId="18" xfId="0" applyFont="1" applyFill="1" applyBorder="1" applyAlignment="1" applyProtection="1">
      <alignment horizontal="center" vertical="center"/>
      <protection hidden="1"/>
    </xf>
    <xf numFmtId="0" fontId="31" fillId="4" borderId="1" xfId="0" applyFont="1" applyFill="1" applyBorder="1" applyAlignment="1" applyProtection="1">
      <alignment horizontal="center" vertical="center" textRotation="90"/>
      <protection hidden="1"/>
    </xf>
    <xf numFmtId="0" fontId="31" fillId="4" borderId="2" xfId="0" applyFont="1" applyFill="1" applyBorder="1" applyAlignment="1" applyProtection="1">
      <alignment horizontal="center" vertical="center" textRotation="90"/>
      <protection hidden="1"/>
    </xf>
    <xf numFmtId="0" fontId="31" fillId="4" borderId="5" xfId="0" applyFont="1" applyFill="1" applyBorder="1" applyAlignment="1" applyProtection="1">
      <alignment horizontal="center" vertical="center" textRotation="90"/>
      <protection hidden="1"/>
    </xf>
    <xf numFmtId="0" fontId="33" fillId="21" borderId="21" xfId="0" applyFont="1" applyFill="1" applyBorder="1" applyAlignment="1" applyProtection="1">
      <alignment horizontal="center" vertical="center" wrapText="1"/>
      <protection hidden="1"/>
    </xf>
    <xf numFmtId="0" fontId="0" fillId="21" borderId="22" xfId="0" applyFill="1" applyBorder="1" applyAlignment="1">
      <alignment horizontal="center" vertical="center" wrapText="1"/>
    </xf>
    <xf numFmtId="0" fontId="33" fillId="4" borderId="37" xfId="0" applyFont="1" applyFill="1" applyBorder="1" applyAlignment="1" applyProtection="1">
      <alignment horizontal="center" vertical="center" wrapText="1"/>
      <protection hidden="1"/>
    </xf>
    <xf numFmtId="0" fontId="0" fillId="4" borderId="14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33" fillId="4" borderId="66" xfId="0" applyFont="1" applyFill="1" applyBorder="1" applyAlignment="1" applyProtection="1">
      <alignment horizontal="center" vertical="center" wrapText="1"/>
      <protection hidden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39" fillId="5" borderId="0" xfId="0" applyFont="1" applyFill="1" applyBorder="1" applyAlignment="1" applyProtection="1">
      <alignment horizontal="center"/>
      <protection hidden="1"/>
    </xf>
    <xf numFmtId="0" fontId="39" fillId="5" borderId="0" xfId="0" applyFont="1" applyFill="1" applyBorder="1" applyAlignment="1" applyProtection="1">
      <alignment horizontal="left"/>
      <protection hidden="1"/>
    </xf>
    <xf numFmtId="0" fontId="31" fillId="7" borderId="30" xfId="0" applyFont="1" applyFill="1" applyBorder="1" applyAlignment="1" applyProtection="1">
      <alignment horizontal="center" vertical="center" wrapText="1"/>
      <protection hidden="1"/>
    </xf>
    <xf numFmtId="0" fontId="31" fillId="7" borderId="8" xfId="0" applyFont="1" applyFill="1" applyBorder="1" applyAlignment="1" applyProtection="1">
      <alignment horizontal="center" vertical="center" wrapText="1"/>
      <protection hidden="1"/>
    </xf>
    <xf numFmtId="0" fontId="31" fillId="7" borderId="12" xfId="0" applyFont="1" applyFill="1" applyBorder="1" applyAlignment="1" applyProtection="1">
      <alignment horizontal="center" vertical="center" wrapText="1"/>
      <protection hidden="1"/>
    </xf>
    <xf numFmtId="0" fontId="31" fillId="7" borderId="51" xfId="0" applyFont="1" applyFill="1" applyBorder="1" applyAlignment="1" applyProtection="1">
      <alignment horizontal="center" vertical="center" wrapText="1"/>
      <protection hidden="1"/>
    </xf>
    <xf numFmtId="0" fontId="31" fillId="7" borderId="13" xfId="0" applyFont="1" applyFill="1" applyBorder="1" applyAlignment="1" applyProtection="1">
      <alignment horizontal="center" vertical="center" wrapText="1"/>
      <protection hidden="1"/>
    </xf>
    <xf numFmtId="0" fontId="27" fillId="0" borderId="0" xfId="1" applyFont="1" applyBorder="1" applyAlignment="1">
      <alignment horizontal="center"/>
    </xf>
    <xf numFmtId="0" fontId="37" fillId="4" borderId="8" xfId="0" applyFont="1" applyFill="1" applyBorder="1" applyAlignment="1">
      <alignment horizontal="center" vertical="center" wrapText="1"/>
    </xf>
    <xf numFmtId="1" fontId="36" fillId="5" borderId="9" xfId="1" applyNumberFormat="1" applyFont="1" applyFill="1" applyBorder="1" applyAlignment="1">
      <alignment horizontal="left" vertical="center" wrapText="1"/>
    </xf>
    <xf numFmtId="0" fontId="36" fillId="5" borderId="9" xfId="1" applyFont="1" applyFill="1" applyBorder="1" applyAlignment="1">
      <alignment horizontal="center" vertical="center" wrapText="1"/>
    </xf>
    <xf numFmtId="0" fontId="41" fillId="0" borderId="0" xfId="1" applyFont="1" applyAlignment="1">
      <alignment horizontal="center" wrapText="1"/>
    </xf>
    <xf numFmtId="165" fontId="26" fillId="0" borderId="8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6" fillId="0" borderId="8" xfId="1" applyFont="1" applyBorder="1" applyAlignment="1">
      <alignment horizontal="center" vertical="center"/>
    </xf>
    <xf numFmtId="0" fontId="23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8" fillId="0" borderId="8" xfId="1" applyFont="1" applyBorder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7" fillId="0" borderId="0" xfId="1" applyFont="1" applyAlignment="1">
      <alignment horizontal="center" wrapText="1"/>
    </xf>
    <xf numFmtId="0" fontId="26" fillId="4" borderId="30" xfId="1" applyFont="1" applyFill="1" applyBorder="1" applyAlignment="1">
      <alignment horizontal="center" vertical="center" wrapText="1"/>
    </xf>
    <xf numFmtId="0" fontId="36" fillId="0" borderId="0" xfId="1" applyFont="1" applyBorder="1" applyAlignment="1">
      <alignment horizontal="center" vertical="center" wrapText="1"/>
    </xf>
    <xf numFmtId="0" fontId="26" fillId="4" borderId="24" xfId="1" applyFont="1" applyFill="1" applyBorder="1" applyAlignment="1">
      <alignment horizontal="center" vertical="center" wrapText="1"/>
    </xf>
    <xf numFmtId="0" fontId="36" fillId="7" borderId="0" xfId="1" applyFont="1" applyFill="1" applyBorder="1" applyAlignment="1">
      <alignment horizontal="center" vertical="center" wrapText="1"/>
    </xf>
    <xf numFmtId="0" fontId="27" fillId="0" borderId="6" xfId="1" applyFont="1" applyBorder="1" applyAlignment="1">
      <alignment horizontal="center"/>
    </xf>
    <xf numFmtId="0" fontId="26" fillId="4" borderId="20" xfId="1" applyFont="1" applyFill="1" applyBorder="1" applyAlignment="1">
      <alignment horizontal="center" vertical="center" wrapText="1"/>
    </xf>
    <xf numFmtId="0" fontId="26" fillId="4" borderId="23" xfId="1" applyFont="1" applyFill="1" applyBorder="1" applyAlignment="1">
      <alignment horizontal="center" vertical="center" wrapText="1"/>
    </xf>
    <xf numFmtId="0" fontId="26" fillId="4" borderId="17" xfId="1" applyFont="1" applyFill="1" applyBorder="1" applyAlignment="1">
      <alignment horizontal="center" vertical="center" wrapText="1"/>
    </xf>
    <xf numFmtId="0" fontId="26" fillId="4" borderId="30" xfId="1" applyFont="1" applyFill="1" applyBorder="1" applyAlignment="1">
      <alignment horizontal="center" vertical="center" textRotation="90" wrapText="1"/>
    </xf>
    <xf numFmtId="0" fontId="26" fillId="4" borderId="20" xfId="1" applyFont="1" applyFill="1" applyBorder="1" applyAlignment="1">
      <alignment horizontal="center" vertical="center" textRotation="90" wrapText="1"/>
    </xf>
    <xf numFmtId="0" fontId="37" fillId="4" borderId="19" xfId="0" applyFont="1" applyFill="1" applyBorder="1" applyAlignment="1">
      <alignment horizontal="center" vertical="center" wrapText="1"/>
    </xf>
    <xf numFmtId="0" fontId="37" fillId="4" borderId="11" xfId="0" applyFont="1" applyFill="1" applyBorder="1" applyAlignment="1">
      <alignment horizontal="center" vertical="center" wrapText="1"/>
    </xf>
    <xf numFmtId="0" fontId="37" fillId="4" borderId="12" xfId="0" applyFont="1" applyFill="1" applyBorder="1" applyAlignment="1">
      <alignment horizontal="center" vertical="center" wrapText="1"/>
    </xf>
    <xf numFmtId="0" fontId="37" fillId="4" borderId="13" xfId="0" applyFont="1" applyFill="1" applyBorder="1" applyAlignment="1">
      <alignment horizontal="center" vertical="center" wrapText="1"/>
    </xf>
    <xf numFmtId="0" fontId="37" fillId="4" borderId="14" xfId="0" applyFont="1" applyFill="1" applyBorder="1" applyAlignment="1">
      <alignment horizontal="center" vertical="center" wrapText="1"/>
    </xf>
    <xf numFmtId="0" fontId="31" fillId="4" borderId="61" xfId="0" applyFont="1" applyFill="1" applyBorder="1" applyAlignment="1" applyProtection="1">
      <alignment horizontal="center" vertical="center" wrapText="1"/>
      <protection hidden="1"/>
    </xf>
    <xf numFmtId="0" fontId="31" fillId="4" borderId="33" xfId="0" applyFont="1" applyFill="1" applyBorder="1" applyAlignment="1" applyProtection="1">
      <alignment horizontal="center" vertical="center" wrapText="1"/>
      <protection hidden="1"/>
    </xf>
    <xf numFmtId="0" fontId="31" fillId="4" borderId="64" xfId="0" applyFont="1" applyFill="1" applyBorder="1" applyAlignment="1" applyProtection="1">
      <alignment horizontal="center" vertical="center" wrapText="1"/>
      <protection hidden="1"/>
    </xf>
    <xf numFmtId="0" fontId="31" fillId="19" borderId="23" xfId="0" applyFont="1" applyFill="1" applyBorder="1" applyAlignment="1" applyProtection="1">
      <alignment horizontal="center" vertical="center" wrapText="1"/>
      <protection hidden="1"/>
    </xf>
    <xf numFmtId="0" fontId="31" fillId="19" borderId="16" xfId="0" applyFont="1" applyFill="1" applyBorder="1" applyAlignment="1" applyProtection="1">
      <alignment horizontal="center" vertical="center" wrapText="1"/>
      <protection hidden="1"/>
    </xf>
    <xf numFmtId="0" fontId="31" fillId="19" borderId="17" xfId="0" applyFont="1" applyFill="1" applyBorder="1" applyAlignment="1" applyProtection="1">
      <alignment horizontal="center" vertical="center" wrapText="1"/>
      <protection hidden="1"/>
    </xf>
    <xf numFmtId="0" fontId="31" fillId="19" borderId="30" xfId="0" applyFont="1" applyFill="1" applyBorder="1" applyAlignment="1" applyProtection="1">
      <alignment horizontal="center" vertical="center" wrapText="1"/>
      <protection hidden="1"/>
    </xf>
    <xf numFmtId="0" fontId="31" fillId="19" borderId="8" xfId="0" applyFont="1" applyFill="1" applyBorder="1" applyAlignment="1" applyProtection="1">
      <alignment horizontal="center" vertical="center" wrapText="1"/>
      <protection hidden="1"/>
    </xf>
    <xf numFmtId="0" fontId="31" fillId="19" borderId="20" xfId="0" applyFont="1" applyFill="1" applyBorder="1" applyAlignment="1" applyProtection="1">
      <alignment horizontal="center" vertical="center" wrapText="1"/>
      <protection hidden="1"/>
    </xf>
    <xf numFmtId="0" fontId="48" fillId="20" borderId="66" xfId="0" applyFont="1" applyFill="1" applyBorder="1" applyAlignment="1" applyProtection="1">
      <alignment horizontal="right" vertical="center" wrapText="1"/>
      <protection hidden="1"/>
    </xf>
    <xf numFmtId="0" fontId="48" fillId="20" borderId="67" xfId="0" applyFont="1" applyFill="1" applyBorder="1" applyAlignment="1" applyProtection="1">
      <alignment horizontal="right" vertical="center" wrapText="1"/>
      <protection hidden="1"/>
    </xf>
    <xf numFmtId="0" fontId="31" fillId="19" borderId="52" xfId="0" applyFont="1" applyFill="1" applyBorder="1" applyAlignment="1" applyProtection="1">
      <alignment horizontal="center" vertical="center" wrapText="1"/>
      <protection hidden="1"/>
    </xf>
    <xf numFmtId="0" fontId="31" fillId="19" borderId="43" xfId="0" applyFont="1" applyFill="1" applyBorder="1" applyAlignment="1" applyProtection="1">
      <alignment horizontal="center" vertical="center" wrapText="1"/>
      <protection hidden="1"/>
    </xf>
    <xf numFmtId="0" fontId="31" fillId="19" borderId="25" xfId="0" applyFont="1" applyFill="1" applyBorder="1" applyAlignment="1" applyProtection="1">
      <alignment horizontal="center" vertical="center" wrapText="1"/>
      <protection hidden="1"/>
    </xf>
    <xf numFmtId="0" fontId="33" fillId="2" borderId="0" xfId="0" applyFont="1" applyFill="1" applyBorder="1" applyAlignment="1" applyProtection="1">
      <alignment horizontal="center"/>
      <protection hidden="1"/>
    </xf>
    <xf numFmtId="0" fontId="31" fillId="7" borderId="20" xfId="0" applyFont="1" applyFill="1" applyBorder="1" applyAlignment="1" applyProtection="1">
      <alignment horizontal="center" vertical="center" wrapText="1"/>
      <protection hidden="1"/>
    </xf>
    <xf numFmtId="1" fontId="36" fillId="5" borderId="9" xfId="1" applyNumberFormat="1" applyFont="1" applyFill="1" applyBorder="1" applyAlignment="1">
      <alignment horizontal="center" vertical="center" wrapText="1"/>
    </xf>
    <xf numFmtId="0" fontId="10" fillId="0" borderId="8" xfId="1" applyBorder="1" applyAlignment="1">
      <alignment horizontal="center" wrapText="1"/>
    </xf>
    <xf numFmtId="0" fontId="36" fillId="5" borderId="0" xfId="1" applyFont="1" applyFill="1" applyBorder="1" applyAlignment="1">
      <alignment horizontal="left" vertical="center" wrapText="1"/>
    </xf>
    <xf numFmtId="0" fontId="10" fillId="0" borderId="8" xfId="1" applyBorder="1" applyAlignment="1">
      <alignment horizontal="center"/>
    </xf>
    <xf numFmtId="0" fontId="10" fillId="0" borderId="8" xfId="1" applyBorder="1" applyAlignment="1">
      <alignment horizontal="center" vertical="center" wrapText="1"/>
    </xf>
    <xf numFmtId="0" fontId="10" fillId="0" borderId="19" xfId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41" fillId="5" borderId="0" xfId="1" applyFont="1" applyFill="1" applyBorder="1" applyAlignment="1">
      <alignment horizontal="center" wrapText="1"/>
    </xf>
    <xf numFmtId="1" fontId="36" fillId="5" borderId="0" xfId="1" applyNumberFormat="1" applyFont="1" applyFill="1" applyBorder="1" applyAlignment="1">
      <alignment horizontal="left" vertical="center" wrapText="1"/>
    </xf>
    <xf numFmtId="0" fontId="41" fillId="5" borderId="0" xfId="1" applyFont="1" applyFill="1" applyAlignment="1">
      <alignment horizontal="center" wrapText="1"/>
    </xf>
    <xf numFmtId="0" fontId="33" fillId="5" borderId="0" xfId="0" applyFont="1" applyFill="1" applyBorder="1" applyAlignment="1">
      <alignment horizontal="center"/>
    </xf>
    <xf numFmtId="0" fontId="26" fillId="6" borderId="26" xfId="1" applyFont="1" applyFill="1" applyBorder="1" applyAlignment="1">
      <alignment horizontal="center" vertical="center" wrapText="1"/>
    </xf>
    <xf numFmtId="0" fontId="26" fillId="6" borderId="54" xfId="1" applyFont="1" applyFill="1" applyBorder="1" applyAlignment="1">
      <alignment horizontal="center" vertical="center" wrapText="1"/>
    </xf>
    <xf numFmtId="0" fontId="26" fillId="6" borderId="28" xfId="1" applyFont="1" applyFill="1" applyBorder="1" applyAlignment="1">
      <alignment horizontal="center" vertical="center" wrapText="1"/>
    </xf>
    <xf numFmtId="0" fontId="33" fillId="5" borderId="50" xfId="0" applyFont="1" applyFill="1" applyBorder="1" applyAlignment="1">
      <alignment horizontal="center"/>
    </xf>
    <xf numFmtId="0" fontId="36" fillId="5" borderId="0" xfId="1" applyFont="1" applyFill="1" applyBorder="1" applyAlignment="1">
      <alignment horizontal="center" vertical="center" wrapText="1"/>
    </xf>
    <xf numFmtId="0" fontId="36" fillId="7" borderId="9" xfId="1" applyFont="1" applyFill="1" applyBorder="1" applyAlignment="1">
      <alignment horizontal="center" vertical="center" wrapText="1"/>
    </xf>
    <xf numFmtId="0" fontId="26" fillId="8" borderId="52" xfId="1" applyFont="1" applyFill="1" applyBorder="1" applyAlignment="1">
      <alignment horizontal="center" vertical="center" wrapText="1"/>
    </xf>
    <xf numFmtId="0" fontId="26" fillId="8" borderId="43" xfId="1" applyFont="1" applyFill="1" applyBorder="1" applyAlignment="1">
      <alignment horizontal="center" vertical="center" wrapText="1"/>
    </xf>
    <xf numFmtId="0" fontId="26" fillId="8" borderId="25" xfId="1" applyFont="1" applyFill="1" applyBorder="1" applyAlignment="1">
      <alignment horizontal="center" vertical="center" wrapText="1"/>
    </xf>
    <xf numFmtId="0" fontId="26" fillId="6" borderId="23" xfId="1" applyFont="1" applyFill="1" applyBorder="1" applyAlignment="1">
      <alignment horizontal="center" vertical="center" wrapText="1"/>
    </xf>
    <xf numFmtId="0" fontId="26" fillId="6" borderId="16" xfId="1" applyFont="1" applyFill="1" applyBorder="1" applyAlignment="1">
      <alignment horizontal="center" vertical="center" wrapText="1"/>
    </xf>
    <xf numFmtId="0" fontId="26" fillId="6" borderId="17" xfId="1" applyFont="1" applyFill="1" applyBorder="1" applyAlignment="1">
      <alignment horizontal="center" vertical="center" wrapText="1"/>
    </xf>
    <xf numFmtId="0" fontId="26" fillId="4" borderId="55" xfId="1" applyFont="1" applyFill="1" applyBorder="1" applyAlignment="1">
      <alignment horizontal="center" vertical="center" wrapText="1"/>
    </xf>
    <xf numFmtId="0" fontId="26" fillId="4" borderId="53" xfId="1" applyFont="1" applyFill="1" applyBorder="1" applyAlignment="1">
      <alignment horizontal="center" vertical="center" wrapText="1"/>
    </xf>
    <xf numFmtId="0" fontId="26" fillId="4" borderId="31" xfId="1" applyFont="1" applyFill="1" applyBorder="1" applyAlignment="1">
      <alignment horizontal="center" vertical="center" wrapText="1"/>
    </xf>
    <xf numFmtId="0" fontId="26" fillId="4" borderId="26" xfId="1" applyFont="1" applyFill="1" applyBorder="1" applyAlignment="1">
      <alignment horizontal="center" vertical="center" wrapText="1"/>
    </xf>
    <xf numFmtId="0" fontId="26" fillId="4" borderId="56" xfId="1" applyFont="1" applyFill="1" applyBorder="1" applyAlignment="1">
      <alignment horizontal="center" vertical="center" wrapText="1"/>
    </xf>
    <xf numFmtId="0" fontId="26" fillId="4" borderId="54" xfId="1" applyFont="1" applyFill="1" applyBorder="1" applyAlignment="1">
      <alignment horizontal="center" vertical="center" wrapText="1"/>
    </xf>
    <xf numFmtId="0" fontId="26" fillId="4" borderId="19" xfId="1" applyFont="1" applyFill="1" applyBorder="1" applyAlignment="1">
      <alignment horizontal="center" vertical="center" wrapText="1"/>
    </xf>
    <xf numFmtId="0" fontId="26" fillId="4" borderId="11" xfId="1" applyFont="1" applyFill="1" applyBorder="1" applyAlignment="1">
      <alignment horizontal="center" vertical="center" wrapText="1"/>
    </xf>
    <xf numFmtId="0" fontId="26" fillId="4" borderId="57" xfId="1" applyFont="1" applyFill="1" applyBorder="1" applyAlignment="1">
      <alignment horizontal="center" vertical="center" wrapText="1"/>
    </xf>
    <xf numFmtId="0" fontId="26" fillId="8" borderId="55" xfId="1" applyFont="1" applyFill="1" applyBorder="1" applyAlignment="1">
      <alignment horizontal="center" vertical="center" textRotation="90" wrapText="1"/>
    </xf>
    <xf numFmtId="0" fontId="26" fillId="8" borderId="53" xfId="1" applyFont="1" applyFill="1" applyBorder="1" applyAlignment="1">
      <alignment horizontal="center" vertical="center" textRotation="90" wrapText="1"/>
    </xf>
    <xf numFmtId="0" fontId="26" fillId="8" borderId="31" xfId="1" applyFont="1" applyFill="1" applyBorder="1" applyAlignment="1">
      <alignment horizontal="center" vertical="center" textRotation="90" wrapText="1"/>
    </xf>
    <xf numFmtId="0" fontId="33" fillId="5" borderId="9" xfId="0" applyFont="1" applyFill="1" applyBorder="1" applyAlignment="1" applyProtection="1">
      <alignment horizontal="right"/>
      <protection hidden="1"/>
    </xf>
    <xf numFmtId="0" fontId="26" fillId="4" borderId="28" xfId="1" applyFont="1" applyFill="1" applyBorder="1" applyAlignment="1">
      <alignment horizontal="center" vertical="center" wrapText="1"/>
    </xf>
    <xf numFmtId="0" fontId="26" fillId="6" borderId="8" xfId="1" applyFont="1" applyFill="1" applyBorder="1" applyAlignment="1">
      <alignment horizontal="center" vertical="center" wrapText="1"/>
    </xf>
    <xf numFmtId="0" fontId="26" fillId="6" borderId="20" xfId="1" applyFont="1" applyFill="1" applyBorder="1" applyAlignment="1">
      <alignment horizontal="center" vertical="center" wrapText="1"/>
    </xf>
    <xf numFmtId="0" fontId="26" fillId="6" borderId="12" xfId="1" applyFont="1" applyFill="1" applyBorder="1" applyAlignment="1">
      <alignment horizontal="center" vertical="center" textRotation="90" wrapText="1"/>
    </xf>
    <xf numFmtId="0" fontId="26" fillId="6" borderId="32" xfId="1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Процентный" xfId="2" builtinId="5"/>
  </cellStyles>
  <dxfs count="1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0070C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6"/>
  <c:chart>
    <c:title>
      <c:tx>
        <c:rich>
          <a:bodyPr/>
          <a:lstStyle/>
          <a:p>
            <a:pPr>
              <a:defRPr sz="1400" b="1">
                <a:latin typeface="+mj-lt"/>
              </a:defRPr>
            </a:pPr>
            <a:r>
              <a:rPr lang="ru-RU" sz="1400" b="1">
                <a:latin typeface="+mj-lt"/>
              </a:rPr>
              <a:t>Успешность выполнения всей</a:t>
            </a:r>
            <a:r>
              <a:rPr lang="ru-RU" sz="1400" b="1" baseline="0">
                <a:latin typeface="+mj-lt"/>
              </a:rPr>
              <a:t> работы</a:t>
            </a:r>
            <a:endParaRPr lang="ru-RU" sz="1400" b="1">
              <a:latin typeface="+mj-lt"/>
            </a:endParaRPr>
          </a:p>
        </c:rich>
      </c:tx>
      <c:layout>
        <c:manualLayout>
          <c:xMode val="edge"/>
          <c:yMode val="edge"/>
          <c:x val="0.34063992734046117"/>
          <c:y val="1.2260630541749657E-2"/>
        </c:manualLayout>
      </c:layout>
      <c:overlay val="1"/>
    </c:title>
    <c:plotArea>
      <c:layout>
        <c:manualLayout>
          <c:layoutTarget val="inner"/>
          <c:xMode val="edge"/>
          <c:yMode val="edge"/>
          <c:x val="7.0157426420260099E-2"/>
          <c:y val="0.12107303828400759"/>
          <c:w val="0.90314852840520188"/>
          <c:h val="0.76398636377349383"/>
        </c:manualLayout>
      </c:layout>
      <c:scatterChart>
        <c:scatterStyle val="smoothMarker"/>
        <c:ser>
          <c:idx val="1"/>
          <c:order val="1"/>
          <c:tx>
            <c:v>Класс</c:v>
          </c:tx>
          <c:spPr>
            <a:ln w="34925"/>
          </c:spPr>
          <c:marker>
            <c:symbol val="none"/>
          </c:marker>
          <c:xVal>
            <c:strRef>
              <c:f>Результаты_Класс!$C$20:$C$59</c:f>
              <c:strCach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strCache>
            </c:strRef>
          </c:xVal>
          <c:yVal>
            <c:numRef>
              <c:f>Результаты_Класс!$AQ$20:$AQ$59</c:f>
              <c:numCache>
                <c:formatCode>0%</c:formatCode>
                <c:ptCount val="40"/>
                <c:pt idx="0">
                  <c:v>0.6827586206896552</c:v>
                </c:pt>
                <c:pt idx="1">
                  <c:v>0.6827586206896552</c:v>
                </c:pt>
                <c:pt idx="2">
                  <c:v>0.6827586206896552</c:v>
                </c:pt>
                <c:pt idx="3">
                  <c:v>0.6827586206896552</c:v>
                </c:pt>
                <c:pt idx="4">
                  <c:v>0.6827586206896552</c:v>
                </c:pt>
                <c:pt idx="5">
                  <c:v>0.6827586206896552</c:v>
                </c:pt>
                <c:pt idx="6">
                  <c:v>0.6827586206896552</c:v>
                </c:pt>
                <c:pt idx="7">
                  <c:v>0.6827586206896552</c:v>
                </c:pt>
                <c:pt idx="8">
                  <c:v>0.6827586206896552</c:v>
                </c:pt>
                <c:pt idx="9">
                  <c:v>0.6827586206896552</c:v>
                </c:pt>
                <c:pt idx="10">
                  <c:v>0.6827586206896552</c:v>
                </c:pt>
                <c:pt idx="11">
                  <c:v>0.6827586206896552</c:v>
                </c:pt>
                <c:pt idx="12">
                  <c:v>0.6827586206896552</c:v>
                </c:pt>
                <c:pt idx="13">
                  <c:v>0.6827586206896552</c:v>
                </c:pt>
                <c:pt idx="14">
                  <c:v>0.6827586206896552</c:v>
                </c:pt>
                <c:pt idx="15">
                  <c:v>0.6827586206896552</c:v>
                </c:pt>
                <c:pt idx="16">
                  <c:v>0.6827586206896552</c:v>
                </c:pt>
                <c:pt idx="17">
                  <c:v>0.6827586206896552</c:v>
                </c:pt>
                <c:pt idx="18">
                  <c:v>0.6827586206896552</c:v>
                </c:pt>
                <c:pt idx="19">
                  <c:v>0.6827586206896552</c:v>
                </c:pt>
                <c:pt idx="20">
                  <c:v>0.6827586206896552</c:v>
                </c:pt>
                <c:pt idx="21">
                  <c:v>0.6827586206896552</c:v>
                </c:pt>
                <c:pt idx="22">
                  <c:v>0.6827586206896552</c:v>
                </c:pt>
                <c:pt idx="23">
                  <c:v>0.6827586206896552</c:v>
                </c:pt>
                <c:pt idx="24">
                  <c:v>0.6827586206896552</c:v>
                </c:pt>
                <c:pt idx="25">
                  <c:v>0.6827586206896552</c:v>
                </c:pt>
                <c:pt idx="26">
                  <c:v>0.6827586206896552</c:v>
                </c:pt>
                <c:pt idx="27">
                  <c:v>0.6827586206896552</c:v>
                </c:pt>
                <c:pt idx="28">
                  <c:v>0.6827586206896552</c:v>
                </c:pt>
                <c:pt idx="29">
                  <c:v>0.6827586206896552</c:v>
                </c:pt>
                <c:pt idx="30">
                  <c:v>0.6827586206896552</c:v>
                </c:pt>
                <c:pt idx="31">
                  <c:v>0.6827586206896552</c:v>
                </c:pt>
                <c:pt idx="32">
                  <c:v>0.6827586206896552</c:v>
                </c:pt>
                <c:pt idx="33">
                  <c:v>0.6827586206896552</c:v>
                </c:pt>
                <c:pt idx="34">
                  <c:v>0.6827586206896552</c:v>
                </c:pt>
                <c:pt idx="35">
                  <c:v>0.6827586206896552</c:v>
                </c:pt>
                <c:pt idx="36">
                  <c:v>0.6827586206896552</c:v>
                </c:pt>
                <c:pt idx="37">
                  <c:v>0.6827586206896552</c:v>
                </c:pt>
                <c:pt idx="38">
                  <c:v>0.6827586206896552</c:v>
                </c:pt>
                <c:pt idx="39">
                  <c:v>0.6827586206896552</c:v>
                </c:pt>
              </c:numCache>
            </c:numRef>
          </c:yVal>
          <c:smooth val="1"/>
        </c:ser>
        <c:axId val="90714880"/>
        <c:axId val="90716800"/>
      </c:scatterChart>
      <c:scatterChart>
        <c:scatterStyle val="lineMarker"/>
        <c:ser>
          <c:idx val="0"/>
          <c:order val="0"/>
          <c:tx>
            <c:v>Ученик</c:v>
          </c:tx>
          <c:spPr>
            <a:ln w="66675">
              <a:noFill/>
            </a:ln>
          </c:spPr>
          <c:marker>
            <c:symbol val="diamond"/>
            <c:size val="7"/>
          </c:marker>
          <c:dLbls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Val val="1"/>
          </c:dLbls>
          <c:xVal>
            <c:strRef>
              <c:f>Результаты_Класс!$C$20:$C$59</c:f>
              <c:strCach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strCache>
            </c:strRef>
          </c:xVal>
          <c:yVal>
            <c:numRef>
              <c:f>Результаты_Класс!$AJ$20:$AJ$58</c:f>
              <c:numCache>
                <c:formatCode>0%</c:formatCode>
                <c:ptCount val="39"/>
                <c:pt idx="0">
                  <c:v>0.52</c:v>
                </c:pt>
                <c:pt idx="1">
                  <c:v>1</c:v>
                </c:pt>
                <c:pt idx="2">
                  <c:v>0.52</c:v>
                </c:pt>
                <c:pt idx="3">
                  <c:v>0.44</c:v>
                </c:pt>
                <c:pt idx="4">
                  <c:v>0.32</c:v>
                </c:pt>
                <c:pt idx="5">
                  <c:v>0.84</c:v>
                </c:pt>
                <c:pt idx="6">
                  <c:v>0.32</c:v>
                </c:pt>
                <c:pt idx="7">
                  <c:v>0.76</c:v>
                </c:pt>
                <c:pt idx="8">
                  <c:v>0.88</c:v>
                </c:pt>
                <c:pt idx="9">
                  <c:v>0.92</c:v>
                </c:pt>
                <c:pt idx="10">
                  <c:v>0.72</c:v>
                </c:pt>
                <c:pt idx="11">
                  <c:v>0.56000000000000005</c:v>
                </c:pt>
                <c:pt idx="12">
                  <c:v>0.36</c:v>
                </c:pt>
                <c:pt idx="13">
                  <c:v>0.52</c:v>
                </c:pt>
                <c:pt idx="14">
                  <c:v>1</c:v>
                </c:pt>
                <c:pt idx="15">
                  <c:v>0.32</c:v>
                </c:pt>
                <c:pt idx="16">
                  <c:v>0.88</c:v>
                </c:pt>
                <c:pt idx="17">
                  <c:v>0.48</c:v>
                </c:pt>
                <c:pt idx="18">
                  <c:v>0.8</c:v>
                </c:pt>
                <c:pt idx="19">
                  <c:v>0.4</c:v>
                </c:pt>
                <c:pt idx="20">
                  <c:v>0.76</c:v>
                </c:pt>
                <c:pt idx="21">
                  <c:v>0.96</c:v>
                </c:pt>
                <c:pt idx="22">
                  <c:v>0.56000000000000005</c:v>
                </c:pt>
                <c:pt idx="23">
                  <c:v>0.8</c:v>
                </c:pt>
                <c:pt idx="24">
                  <c:v>0.84</c:v>
                </c:pt>
                <c:pt idx="25">
                  <c:v>1</c:v>
                </c:pt>
                <c:pt idx="26">
                  <c:v>0.64</c:v>
                </c:pt>
                <c:pt idx="27">
                  <c:v>0.84</c:v>
                </c:pt>
                <c:pt idx="28">
                  <c:v>0.84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yVal>
        </c:ser>
        <c:axId val="90714880"/>
        <c:axId val="90716800"/>
      </c:scatterChart>
      <c:valAx>
        <c:axId val="9071488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u-RU"/>
                  <a:t>Номер учащегося по журналу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90716800"/>
        <c:crosses val="autoZero"/>
        <c:crossBetween val="midCat"/>
        <c:majorUnit val="1"/>
      </c:valAx>
      <c:valAx>
        <c:axId val="90716800"/>
        <c:scaling>
          <c:orientation val="minMax"/>
          <c:max val="1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+mj-lt"/>
                    <a:ea typeface="Calibri"/>
                    <a:cs typeface="Calibri"/>
                  </a:defRPr>
                </a:pPr>
                <a:r>
                  <a:rPr lang="ru-RU">
                    <a:latin typeface="+mj-lt"/>
                  </a:rPr>
                  <a:t>Процент выполнения всей работы</a:t>
                </a:r>
              </a:p>
            </c:rich>
          </c:tx>
          <c:layout/>
        </c:title>
        <c:numFmt formatCode="0%" sourceLinked="0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9071488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78189587005436734"/>
          <c:y val="1.8584166340909525E-2"/>
          <c:w val="0.18090347210997479"/>
          <c:h val="5.5745301340878503E-2"/>
        </c:manualLayout>
      </c:layout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mbria"/>
              <a:ea typeface="Cambria"/>
              <a:cs typeface="Cambria"/>
            </a:defRPr>
          </a:pPr>
          <a:endParaRPr lang="ru-RU"/>
        </a:p>
      </c:txPr>
    </c:legend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u-RU"/>
              <a:t>Выполнение заданий повышенного уровня (задание </a:t>
            </a:r>
            <a:r>
              <a:rPr lang="en-US"/>
              <a:t>C1</a:t>
            </a:r>
            <a:r>
              <a:rPr lang="ru-RU"/>
              <a:t>)</a:t>
            </a:r>
          </a:p>
        </c:rich>
      </c:tx>
      <c:layout>
        <c:manualLayout>
          <c:xMode val="edge"/>
          <c:yMode val="edge"/>
          <c:x val="0.38748066964602496"/>
          <c:y val="2.8004772130756382E-2"/>
        </c:manualLayout>
      </c:layout>
    </c:title>
    <c:view3D>
      <c:depthPercent val="100"/>
      <c:rAngAx val="1"/>
    </c:view3D>
    <c:plotArea>
      <c:layout>
        <c:manualLayout>
          <c:layoutTarget val="inner"/>
          <c:xMode val="edge"/>
          <c:yMode val="edge"/>
          <c:x val="0.19146310911836162"/>
          <c:y val="0.11559446677556925"/>
          <c:w val="0.79142292744328779"/>
          <c:h val="0.62153699319053668"/>
        </c:manualLayout>
      </c:layout>
      <c:bar3DChart>
        <c:barDir val="col"/>
        <c:grouping val="clustered"/>
        <c:ser>
          <c:idx val="0"/>
          <c:order val="0"/>
          <c:tx>
            <c:strRef>
              <c:f>Пов_З!$D$6</c:f>
              <c:strCache>
                <c:ptCount val="1"/>
                <c:pt idx="0">
                  <c:v>3 балла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Пов_З!$A$7:$A$7</c:f>
              <c:strCache>
                <c:ptCount val="1"/>
                <c:pt idx="0">
                  <c:v>Задание С1</c:v>
                </c:pt>
              </c:strCache>
            </c:strRef>
          </c:cat>
          <c:val>
            <c:numRef>
              <c:f>Пов_З!$D$7:$D$7</c:f>
              <c:numCache>
                <c:formatCode>0.0</c:formatCode>
                <c:ptCount val="1"/>
                <c:pt idx="0">
                  <c:v>27.586206896551722</c:v>
                </c:pt>
              </c:numCache>
            </c:numRef>
          </c:val>
        </c:ser>
        <c:ser>
          <c:idx val="1"/>
          <c:order val="1"/>
          <c:tx>
            <c:strRef>
              <c:f>Пов_З!$E$6</c:f>
              <c:strCache>
                <c:ptCount val="1"/>
              </c:strCache>
            </c:strRef>
          </c:tx>
          <c:cat>
            <c:strRef>
              <c:f>Пов_З!$A$7:$A$7</c:f>
              <c:strCache>
                <c:ptCount val="1"/>
                <c:pt idx="0">
                  <c:v>Задание С1</c:v>
                </c:pt>
              </c:strCache>
            </c:strRef>
          </c:cat>
          <c:val>
            <c:numRef>
              <c:f>Пов_З!$E$7:$E$7</c:f>
            </c:numRef>
          </c:val>
        </c:ser>
        <c:ser>
          <c:idx val="2"/>
          <c:order val="2"/>
          <c:tx>
            <c:strRef>
              <c:f>Пов_З!$F$6</c:f>
              <c:strCache>
                <c:ptCount val="1"/>
                <c:pt idx="0">
                  <c:v>2 балла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strRef>
              <c:f>Пов_З!$A$7:$A$7</c:f>
              <c:strCache>
                <c:ptCount val="1"/>
                <c:pt idx="0">
                  <c:v>Задание С1</c:v>
                </c:pt>
              </c:strCache>
            </c:strRef>
          </c:cat>
          <c:val>
            <c:numRef>
              <c:f>Пов_З!$F$7:$F$7</c:f>
              <c:numCache>
                <c:formatCode>0.0</c:formatCode>
                <c:ptCount val="1"/>
                <c:pt idx="0">
                  <c:v>44.827586206896555</c:v>
                </c:pt>
              </c:numCache>
            </c:numRef>
          </c:val>
        </c:ser>
        <c:ser>
          <c:idx val="3"/>
          <c:order val="3"/>
          <c:tx>
            <c:strRef>
              <c:f>Пов_З!$G$6</c:f>
              <c:strCache>
                <c:ptCount val="1"/>
              </c:strCache>
            </c:strRef>
          </c:tx>
          <c:cat>
            <c:strRef>
              <c:f>Пов_З!$A$7:$A$7</c:f>
              <c:strCache>
                <c:ptCount val="1"/>
                <c:pt idx="0">
                  <c:v>Задание С1</c:v>
                </c:pt>
              </c:strCache>
            </c:strRef>
          </c:cat>
          <c:val>
            <c:numRef>
              <c:f>Пов_З!$G$7:$G$7</c:f>
            </c:numRef>
          </c:val>
        </c:ser>
        <c:ser>
          <c:idx val="4"/>
          <c:order val="4"/>
          <c:tx>
            <c:strRef>
              <c:f>Пов_З!$H$6</c:f>
              <c:strCache>
                <c:ptCount val="1"/>
                <c:pt idx="0">
                  <c:v>1 балл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cat>
            <c:strRef>
              <c:f>Пов_З!$A$7:$A$7</c:f>
              <c:strCache>
                <c:ptCount val="1"/>
                <c:pt idx="0">
                  <c:v>Задание С1</c:v>
                </c:pt>
              </c:strCache>
            </c:strRef>
          </c:cat>
          <c:val>
            <c:numRef>
              <c:f>Пов_З!$H$7:$H$7</c:f>
              <c:numCache>
                <c:formatCode>0.0</c:formatCode>
                <c:ptCount val="1"/>
                <c:pt idx="0">
                  <c:v>13.793103448275861</c:v>
                </c:pt>
              </c:numCache>
            </c:numRef>
          </c:val>
        </c:ser>
        <c:ser>
          <c:idx val="5"/>
          <c:order val="5"/>
          <c:tx>
            <c:strRef>
              <c:f>Пов_З!$I$6</c:f>
              <c:strCache>
                <c:ptCount val="1"/>
              </c:strCache>
            </c:strRef>
          </c:tx>
          <c:cat>
            <c:strRef>
              <c:f>Пов_З!$A$7:$A$7</c:f>
              <c:strCache>
                <c:ptCount val="1"/>
                <c:pt idx="0">
                  <c:v>Задание С1</c:v>
                </c:pt>
              </c:strCache>
            </c:strRef>
          </c:cat>
          <c:val>
            <c:numRef>
              <c:f>Пов_З!$I$7:$I$7</c:f>
            </c:numRef>
          </c:val>
        </c:ser>
        <c:ser>
          <c:idx val="6"/>
          <c:order val="6"/>
          <c:tx>
            <c:strRef>
              <c:f>Пов_З!$J$6</c:f>
              <c:strCache>
                <c:ptCount val="1"/>
                <c:pt idx="0">
                  <c:v>Выполнили неверно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strRef>
              <c:f>Пов_З!$A$7:$A$7</c:f>
              <c:strCache>
                <c:ptCount val="1"/>
                <c:pt idx="0">
                  <c:v>Задание С1</c:v>
                </c:pt>
              </c:strCache>
            </c:strRef>
          </c:cat>
          <c:val>
            <c:numRef>
              <c:f>Пов_З!$J$7:$J$7</c:f>
              <c:numCache>
                <c:formatCode>0.0</c:formatCode>
                <c:ptCount val="1"/>
                <c:pt idx="0">
                  <c:v>13.793103448275861</c:v>
                </c:pt>
              </c:numCache>
            </c:numRef>
          </c:val>
        </c:ser>
        <c:ser>
          <c:idx val="7"/>
          <c:order val="7"/>
          <c:tx>
            <c:strRef>
              <c:f>Пов_З!$K$6</c:f>
              <c:strCache>
                <c:ptCount val="1"/>
              </c:strCache>
            </c:strRef>
          </c:tx>
          <c:cat>
            <c:strRef>
              <c:f>Пов_З!$A$7:$A$7</c:f>
              <c:strCache>
                <c:ptCount val="1"/>
                <c:pt idx="0">
                  <c:v>Задание С1</c:v>
                </c:pt>
              </c:strCache>
            </c:strRef>
          </c:cat>
          <c:val>
            <c:numRef>
              <c:f>Пов_З!$K$7:$K$7</c:f>
            </c:numRef>
          </c:val>
        </c:ser>
        <c:ser>
          <c:idx val="8"/>
          <c:order val="8"/>
          <c:tx>
            <c:strRef>
              <c:f>Пов_З!$L$6</c:f>
              <c:strCache>
                <c:ptCount val="1"/>
                <c:pt idx="0">
                  <c:v>Не приступили к выполнению</c:v>
                </c:pt>
              </c:strCache>
            </c:strRef>
          </c:tx>
          <c:cat>
            <c:strRef>
              <c:f>Пов_З!$A$7:$A$7</c:f>
              <c:strCache>
                <c:ptCount val="1"/>
                <c:pt idx="0">
                  <c:v>Задание С1</c:v>
                </c:pt>
              </c:strCache>
            </c:strRef>
          </c:cat>
          <c:val>
            <c:numRef>
              <c:f>Пов_З!$L$7:$L$7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104384384"/>
        <c:axId val="104385920"/>
        <c:axId val="0"/>
      </c:bar3DChart>
      <c:catAx>
        <c:axId val="1043843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4385920"/>
        <c:crosses val="autoZero"/>
        <c:auto val="1"/>
        <c:lblAlgn val="ctr"/>
        <c:lblOffset val="100"/>
      </c:catAx>
      <c:valAx>
        <c:axId val="104385920"/>
        <c:scaling>
          <c:orientation val="minMax"/>
          <c:max val="100"/>
        </c:scaling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u-RU"/>
                  <a:t>Доля  учеников</a:t>
                </a:r>
              </a:p>
            </c:rich>
          </c:tx>
          <c:layout>
            <c:manualLayout>
              <c:xMode val="edge"/>
              <c:yMode val="edge"/>
              <c:x val="0.13546830294861792"/>
              <c:y val="0.25253352421856329"/>
            </c:manualLayout>
          </c:layout>
        </c:title>
        <c:numFmt formatCode="#,##0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438438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</c:dTable>
      <c:spPr>
        <a:noFill/>
        <a:ln w="25400">
          <a:noFill/>
        </a:ln>
      </c:spPr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0"/>
  <c:chart>
    <c:title>
      <c:tx>
        <c:rich>
          <a:bodyPr/>
          <a:lstStyle/>
          <a:p>
            <a:pPr>
              <a:defRPr/>
            </a:pPr>
            <a:r>
              <a:rPr lang="ru-RU"/>
              <a:t>Проверяемое содержание (базовый уровень)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6550690891265052"/>
          <c:y val="0.12206480425845979"/>
          <c:w val="0.80730434960221309"/>
          <c:h val="0.68938817502146021"/>
        </c:manualLayout>
      </c:layout>
      <c:barChart>
        <c:barDir val="bar"/>
        <c:grouping val="clustered"/>
        <c:ser>
          <c:idx val="0"/>
          <c:order val="0"/>
          <c:tx>
            <c:strRef>
              <c:f>КИМ_1!$E$8</c:f>
              <c:strCache>
                <c:ptCount val="1"/>
                <c:pt idx="0">
                  <c:v>доля</c:v>
                </c:pt>
              </c:strCache>
            </c:strRef>
          </c:tx>
          <c:cat>
            <c:strRef>
              <c:f>КИМ_1!$B$10:$B$12</c:f>
              <c:strCache>
                <c:ptCount val="3"/>
                <c:pt idx="0">
                  <c:v>Коммуникативные умения. Чтение.</c:v>
                </c:pt>
                <c:pt idx="1">
                  <c:v>Грамматика и лексика.</c:v>
                </c:pt>
                <c:pt idx="2">
                  <c:v>Письмо.</c:v>
                </c:pt>
              </c:strCache>
            </c:strRef>
          </c:cat>
          <c:val>
            <c:numRef>
              <c:f>КИМ_1!$E$10:$E$12</c:f>
              <c:numCache>
                <c:formatCode>0.00%</c:formatCode>
                <c:ptCount val="3"/>
                <c:pt idx="0">
                  <c:v>0.89655172413793105</c:v>
                </c:pt>
                <c:pt idx="1">
                  <c:v>0.67931034482758623</c:v>
                </c:pt>
              </c:numCache>
            </c:numRef>
          </c:val>
        </c:ser>
        <c:axId val="104436864"/>
        <c:axId val="104438400"/>
      </c:barChart>
      <c:catAx>
        <c:axId val="104436864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sz="1100">
                <a:latin typeface="+mj-lt"/>
              </a:defRPr>
            </a:pPr>
            <a:endParaRPr lang="ru-RU"/>
          </a:p>
        </c:txPr>
        <c:crossAx val="104438400"/>
        <c:crosses val="autoZero"/>
        <c:auto val="1"/>
        <c:lblAlgn val="ctr"/>
        <c:lblOffset val="100"/>
      </c:catAx>
      <c:valAx>
        <c:axId val="104438400"/>
        <c:scaling>
          <c:orientation val="minMax"/>
          <c:max val="1"/>
        </c:scaling>
        <c:axPos val="b"/>
        <c:majorGridlines/>
        <c:numFmt formatCode="0%" sourceLinked="0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10443686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100" b="1"/>
            </a:pPr>
            <a:endParaRPr lang="ru-RU"/>
          </a:p>
        </c:txPr>
      </c:dTable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0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/>
              <a:t>Проверяемое содержание (повышенный уровень)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6550690891265052"/>
          <c:y val="0.12206480425845979"/>
          <c:w val="0.80730434960221309"/>
          <c:h val="0.68938817502146021"/>
        </c:manualLayout>
      </c:layout>
      <c:barChart>
        <c:barDir val="bar"/>
        <c:grouping val="clustered"/>
        <c:ser>
          <c:idx val="0"/>
          <c:order val="0"/>
          <c:tx>
            <c:strRef>
              <c:f>КИМ_1!$J$8</c:f>
              <c:strCache>
                <c:ptCount val="1"/>
              </c:strCache>
            </c:strRef>
          </c:tx>
          <c:cat>
            <c:strRef>
              <c:f>КИМ_1!$B$10:$B$12</c:f>
              <c:strCache>
                <c:ptCount val="3"/>
                <c:pt idx="0">
                  <c:v>Коммуникативные умения. Чтение.</c:v>
                </c:pt>
                <c:pt idx="1">
                  <c:v>Грамматика и лексика.</c:v>
                </c:pt>
                <c:pt idx="2">
                  <c:v>Письмо.</c:v>
                </c:pt>
              </c:strCache>
            </c:strRef>
          </c:cat>
          <c:val>
            <c:numRef>
              <c:f>КИМ_1!$J$10:$J$12</c:f>
              <c:numCache>
                <c:formatCode>0.00%</c:formatCode>
                <c:ptCount val="3"/>
                <c:pt idx="0">
                  <c:v>0.82758620689655171</c:v>
                </c:pt>
                <c:pt idx="1">
                  <c:v>0.66896551724137931</c:v>
                </c:pt>
                <c:pt idx="2">
                  <c:v>0.27586206896551724</c:v>
                </c:pt>
              </c:numCache>
            </c:numRef>
          </c:val>
        </c:ser>
        <c:axId val="104455552"/>
        <c:axId val="104490112"/>
      </c:barChart>
      <c:catAx>
        <c:axId val="104455552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sz="1100">
                <a:latin typeface="+mj-lt"/>
              </a:defRPr>
            </a:pPr>
            <a:endParaRPr lang="ru-RU"/>
          </a:p>
        </c:txPr>
        <c:crossAx val="104490112"/>
        <c:crosses val="autoZero"/>
        <c:auto val="1"/>
        <c:lblAlgn val="ctr"/>
        <c:lblOffset val="100"/>
      </c:catAx>
      <c:valAx>
        <c:axId val="104490112"/>
        <c:scaling>
          <c:orientation val="minMax"/>
          <c:max val="1"/>
        </c:scaling>
        <c:axPos val="b"/>
        <c:majorGridlines/>
        <c:numFmt formatCode="0%" sourceLinked="0"/>
        <c:majorTickMark val="none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1044555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100" b="1"/>
            </a:pPr>
            <a:endParaRPr lang="ru-RU"/>
          </a:p>
        </c:txPr>
      </c:dTable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7.5979608463855449E-3"/>
          <c:y val="4.1474903594219376E-2"/>
          <c:w val="0.96911780621926724"/>
          <c:h val="0.93106683177605065"/>
        </c:manualLayout>
      </c:layout>
      <c:pie3DChart>
        <c:varyColors val="1"/>
        <c:ser>
          <c:idx val="0"/>
          <c:order val="0"/>
          <c:dPt>
            <c:idx val="0"/>
            <c:explosion val="10"/>
          </c:dPt>
          <c:dPt>
            <c:idx val="1"/>
            <c:explosion val="7"/>
          </c:dPt>
          <c:dPt>
            <c:idx val="2"/>
            <c:explosion val="6"/>
          </c:dPt>
          <c:dPt>
            <c:idx val="3"/>
            <c:explosion val="6"/>
          </c:dPt>
          <c:dLbls>
            <c:dLbl>
              <c:idx val="0"/>
              <c:layout>
                <c:manualLayout>
                  <c:x val="0.25547501043315679"/>
                  <c:y val="-6.2827225130890132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0.18793540754843285"/>
                  <c:y val="6.2827225130890132E-2"/>
                </c:manualLayout>
              </c:layout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Val val="1"/>
            <c:showCatName val="1"/>
            <c:separator>
</c:separator>
            <c:showLeaderLines val="1"/>
          </c:dLbls>
          <c:cat>
            <c:strRef>
              <c:f>(Уровни!$D$9,Уровни!$F$9,Уровни!$H$9,Уровни!$J$9)</c:f>
              <c:strCache>
                <c:ptCount val="4"/>
                <c:pt idx="0">
                  <c:v>Низкий</c:v>
                </c:pt>
                <c:pt idx="1">
                  <c:v>Базовый</c:v>
                </c:pt>
                <c:pt idx="2">
                  <c:v>Повышенный</c:v>
                </c:pt>
                <c:pt idx="3">
                  <c:v>Высокий</c:v>
                </c:pt>
              </c:strCache>
            </c:strRef>
          </c:cat>
          <c:val>
            <c:numRef>
              <c:f>(Уровни!$D$8,Уровни!$F$8,Уровни!$H$8,Уровни!$J$8)</c:f>
              <c:numCache>
                <c:formatCode>0.0%</c:formatCode>
                <c:ptCount val="4"/>
                <c:pt idx="0">
                  <c:v>0.13793103448275862</c:v>
                </c:pt>
                <c:pt idx="1">
                  <c:v>0.31034482758620691</c:v>
                </c:pt>
                <c:pt idx="2">
                  <c:v>0.34482758620689657</c:v>
                </c:pt>
                <c:pt idx="3">
                  <c:v>0.20689655172413793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Результаты оценки индивидуальных достижений учащихся по английскому языку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Ученик!$F$4</c:f>
              <c:strCache>
                <c:ptCount val="1"/>
                <c:pt idx="0">
                  <c:v>Процент выполнения заданий базового уровня</c:v>
                </c:pt>
              </c:strCache>
            </c:strRef>
          </c:tx>
          <c:dLbls>
            <c:delete val="1"/>
          </c:dLbls>
          <c:cat>
            <c:strRef>
              <c:f>Ученик!$C$15:$C$54</c:f>
              <c:strCach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strCache>
            </c:strRef>
          </c:cat>
          <c:val>
            <c:numRef>
              <c:f>Ученик!$F$15:$F$54</c:f>
              <c:numCache>
                <c:formatCode>0.0</c:formatCode>
                <c:ptCount val="40"/>
                <c:pt idx="0">
                  <c:v>54.54545454545454</c:v>
                </c:pt>
                <c:pt idx="1">
                  <c:v>100</c:v>
                </c:pt>
                <c:pt idx="2">
                  <c:v>72.727272727272734</c:v>
                </c:pt>
                <c:pt idx="3">
                  <c:v>54.54545454545454</c:v>
                </c:pt>
                <c:pt idx="4">
                  <c:v>36.363636363636367</c:v>
                </c:pt>
                <c:pt idx="5">
                  <c:v>72.727272727272734</c:v>
                </c:pt>
                <c:pt idx="6">
                  <c:v>54.54545454545454</c:v>
                </c:pt>
                <c:pt idx="7">
                  <c:v>72.727272727272734</c:v>
                </c:pt>
                <c:pt idx="8">
                  <c:v>81.818181818181827</c:v>
                </c:pt>
                <c:pt idx="9">
                  <c:v>100</c:v>
                </c:pt>
                <c:pt idx="10">
                  <c:v>54.54545454545454</c:v>
                </c:pt>
                <c:pt idx="11">
                  <c:v>54.54545454545454</c:v>
                </c:pt>
                <c:pt idx="12">
                  <c:v>45.454545454545453</c:v>
                </c:pt>
                <c:pt idx="13">
                  <c:v>54.54545454545454</c:v>
                </c:pt>
                <c:pt idx="14">
                  <c:v>100</c:v>
                </c:pt>
                <c:pt idx="15">
                  <c:v>45.454545454545453</c:v>
                </c:pt>
                <c:pt idx="16">
                  <c:v>81.818181818181827</c:v>
                </c:pt>
                <c:pt idx="17">
                  <c:v>54.54545454545454</c:v>
                </c:pt>
                <c:pt idx="18">
                  <c:v>63.636363636363633</c:v>
                </c:pt>
                <c:pt idx="19">
                  <c:v>54.54545454545454</c:v>
                </c:pt>
                <c:pt idx="20">
                  <c:v>72.727272727272734</c:v>
                </c:pt>
                <c:pt idx="21">
                  <c:v>90.909090909090907</c:v>
                </c:pt>
                <c:pt idx="22">
                  <c:v>54.54545454545454</c:v>
                </c:pt>
                <c:pt idx="23">
                  <c:v>81.818181818181827</c:v>
                </c:pt>
                <c:pt idx="24">
                  <c:v>81.818181818181827</c:v>
                </c:pt>
                <c:pt idx="25">
                  <c:v>100</c:v>
                </c:pt>
                <c:pt idx="26">
                  <c:v>54.54545454545454</c:v>
                </c:pt>
                <c:pt idx="27">
                  <c:v>100</c:v>
                </c:pt>
                <c:pt idx="28">
                  <c:v>81.818181818181827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"/>
          <c:order val="1"/>
          <c:tx>
            <c:strRef>
              <c:f>Ученик!$G$4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  <a:alpha val="88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  <a:prstDash val="dashDot"/>
            </a:ln>
          </c:spPr>
          <c:dLbls>
            <c:delete val="1"/>
          </c:dLbls>
          <c:cat>
            <c:strRef>
              <c:f>Ученик!$C$15:$C$54</c:f>
              <c:strCach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strCache>
            </c:strRef>
          </c:cat>
          <c:val>
            <c:numRef>
              <c:f>Ученик!$G$15:$G$54</c:f>
              <c:numCache>
                <c:formatCode>0.0</c:formatCode>
                <c:ptCount val="40"/>
                <c:pt idx="0">
                  <c:v>45.45454545454546</c:v>
                </c:pt>
                <c:pt idx="1">
                  <c:v>0</c:v>
                </c:pt>
                <c:pt idx="2">
                  <c:v>27.272727272727266</c:v>
                </c:pt>
                <c:pt idx="3">
                  <c:v>45.45454545454546</c:v>
                </c:pt>
                <c:pt idx="4">
                  <c:v>63.636363636363633</c:v>
                </c:pt>
                <c:pt idx="5">
                  <c:v>27.272727272727266</c:v>
                </c:pt>
                <c:pt idx="6">
                  <c:v>45.45454545454546</c:v>
                </c:pt>
                <c:pt idx="7">
                  <c:v>27.272727272727266</c:v>
                </c:pt>
                <c:pt idx="8">
                  <c:v>18.181818181818173</c:v>
                </c:pt>
                <c:pt idx="9">
                  <c:v>0</c:v>
                </c:pt>
                <c:pt idx="10">
                  <c:v>45.45454545454546</c:v>
                </c:pt>
                <c:pt idx="11">
                  <c:v>45.45454545454546</c:v>
                </c:pt>
                <c:pt idx="12">
                  <c:v>54.545454545454547</c:v>
                </c:pt>
                <c:pt idx="13">
                  <c:v>45.45454545454546</c:v>
                </c:pt>
                <c:pt idx="14">
                  <c:v>0</c:v>
                </c:pt>
                <c:pt idx="15">
                  <c:v>54.545454545454547</c:v>
                </c:pt>
                <c:pt idx="16">
                  <c:v>18.181818181818173</c:v>
                </c:pt>
                <c:pt idx="17">
                  <c:v>45.45454545454546</c:v>
                </c:pt>
                <c:pt idx="18">
                  <c:v>36.363636363636367</c:v>
                </c:pt>
                <c:pt idx="19">
                  <c:v>45.45454545454546</c:v>
                </c:pt>
                <c:pt idx="20">
                  <c:v>27.272727272727266</c:v>
                </c:pt>
                <c:pt idx="21">
                  <c:v>9.0909090909090935</c:v>
                </c:pt>
                <c:pt idx="22">
                  <c:v>45.45454545454546</c:v>
                </c:pt>
                <c:pt idx="23">
                  <c:v>18.181818181818173</c:v>
                </c:pt>
                <c:pt idx="24">
                  <c:v>18.181818181818173</c:v>
                </c:pt>
                <c:pt idx="25">
                  <c:v>0</c:v>
                </c:pt>
                <c:pt idx="26">
                  <c:v>45.45454545454546</c:v>
                </c:pt>
                <c:pt idx="27">
                  <c:v>0</c:v>
                </c:pt>
                <c:pt idx="28">
                  <c:v>18.181818181818173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2"/>
          <c:order val="2"/>
          <c:tx>
            <c:strRef>
              <c:f>Ученик!$H$4</c:f>
              <c:strCache>
                <c:ptCount val="1"/>
                <c:pt idx="0">
                  <c:v>Процент от максимального балла за выполнение заданий повышенного уровня</c:v>
                </c:pt>
              </c:strCache>
            </c:strRef>
          </c:tx>
          <c:dLbls>
            <c:delete val="1"/>
          </c:dLbls>
          <c:cat>
            <c:strRef>
              <c:f>Ученик!$C$15:$C$54</c:f>
              <c:strCach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strCache>
            </c:strRef>
          </c:cat>
          <c:val>
            <c:numRef>
              <c:f>Ученик!$H$15:$H$54</c:f>
              <c:numCache>
                <c:formatCode>0.0</c:formatCode>
                <c:ptCount val="40"/>
                <c:pt idx="0">
                  <c:v>50</c:v>
                </c:pt>
                <c:pt idx="1">
                  <c:v>100</c:v>
                </c:pt>
                <c:pt idx="2">
                  <c:v>35.714285714285715</c:v>
                </c:pt>
                <c:pt idx="3">
                  <c:v>35.714285714285715</c:v>
                </c:pt>
                <c:pt idx="4">
                  <c:v>28.571428571428569</c:v>
                </c:pt>
                <c:pt idx="5">
                  <c:v>92.857142857142861</c:v>
                </c:pt>
                <c:pt idx="6">
                  <c:v>14.285714285714285</c:v>
                </c:pt>
                <c:pt idx="7">
                  <c:v>78.571428571428569</c:v>
                </c:pt>
                <c:pt idx="8">
                  <c:v>92.857142857142861</c:v>
                </c:pt>
                <c:pt idx="9">
                  <c:v>85.714285714285708</c:v>
                </c:pt>
                <c:pt idx="10">
                  <c:v>85.714285714285708</c:v>
                </c:pt>
                <c:pt idx="11">
                  <c:v>57.142857142857139</c:v>
                </c:pt>
                <c:pt idx="12">
                  <c:v>28.571428571428569</c:v>
                </c:pt>
                <c:pt idx="13">
                  <c:v>50</c:v>
                </c:pt>
                <c:pt idx="14">
                  <c:v>100</c:v>
                </c:pt>
                <c:pt idx="15">
                  <c:v>21.428571428571427</c:v>
                </c:pt>
                <c:pt idx="16">
                  <c:v>92.857142857142861</c:v>
                </c:pt>
                <c:pt idx="17">
                  <c:v>42.857142857142854</c:v>
                </c:pt>
                <c:pt idx="18">
                  <c:v>92.857142857142861</c:v>
                </c:pt>
                <c:pt idx="19">
                  <c:v>28.571428571428569</c:v>
                </c:pt>
                <c:pt idx="20">
                  <c:v>78.571428571428569</c:v>
                </c:pt>
                <c:pt idx="21">
                  <c:v>100</c:v>
                </c:pt>
                <c:pt idx="22">
                  <c:v>57.142857142857139</c:v>
                </c:pt>
                <c:pt idx="23">
                  <c:v>78.571428571428569</c:v>
                </c:pt>
                <c:pt idx="24">
                  <c:v>85.714285714285708</c:v>
                </c:pt>
                <c:pt idx="25">
                  <c:v>100</c:v>
                </c:pt>
                <c:pt idx="26">
                  <c:v>71.428571428571431</c:v>
                </c:pt>
                <c:pt idx="27">
                  <c:v>71.428571428571431</c:v>
                </c:pt>
                <c:pt idx="28">
                  <c:v>85.714285714285708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3"/>
          <c:order val="3"/>
          <c:tx>
            <c:strRef>
              <c:f>Ученик!$I$4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50000"/>
                </a:schemeClr>
              </a:solidFill>
              <a:prstDash val="lgDashDot"/>
            </a:ln>
          </c:spPr>
          <c:dLbls>
            <c:delete val="1"/>
          </c:dLbls>
          <c:cat>
            <c:strRef>
              <c:f>Ученик!$C$15:$C$54</c:f>
              <c:strCach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strCache>
            </c:strRef>
          </c:cat>
          <c:val>
            <c:numRef>
              <c:f>Ученик!$I$15:$I$54</c:f>
              <c:numCache>
                <c:formatCode>0.0</c:formatCode>
                <c:ptCount val="40"/>
                <c:pt idx="0">
                  <c:v>50</c:v>
                </c:pt>
                <c:pt idx="1">
                  <c:v>0</c:v>
                </c:pt>
                <c:pt idx="2">
                  <c:v>64.285714285714278</c:v>
                </c:pt>
                <c:pt idx="3">
                  <c:v>64.285714285714278</c:v>
                </c:pt>
                <c:pt idx="4">
                  <c:v>71.428571428571431</c:v>
                </c:pt>
                <c:pt idx="5">
                  <c:v>7.1428571428571388</c:v>
                </c:pt>
                <c:pt idx="6">
                  <c:v>85.714285714285722</c:v>
                </c:pt>
                <c:pt idx="7">
                  <c:v>21.428571428571431</c:v>
                </c:pt>
                <c:pt idx="8">
                  <c:v>7.1428571428571388</c:v>
                </c:pt>
                <c:pt idx="9">
                  <c:v>14.285714285714292</c:v>
                </c:pt>
                <c:pt idx="10">
                  <c:v>14.285714285714292</c:v>
                </c:pt>
                <c:pt idx="11">
                  <c:v>42.857142857142861</c:v>
                </c:pt>
                <c:pt idx="12">
                  <c:v>71.428571428571431</c:v>
                </c:pt>
                <c:pt idx="13">
                  <c:v>50</c:v>
                </c:pt>
                <c:pt idx="14">
                  <c:v>0</c:v>
                </c:pt>
                <c:pt idx="15">
                  <c:v>78.571428571428569</c:v>
                </c:pt>
                <c:pt idx="16">
                  <c:v>7.1428571428571388</c:v>
                </c:pt>
                <c:pt idx="17">
                  <c:v>57.142857142857146</c:v>
                </c:pt>
                <c:pt idx="18">
                  <c:v>7.1428571428571388</c:v>
                </c:pt>
                <c:pt idx="19">
                  <c:v>71.428571428571431</c:v>
                </c:pt>
                <c:pt idx="20">
                  <c:v>21.428571428571431</c:v>
                </c:pt>
                <c:pt idx="21">
                  <c:v>0</c:v>
                </c:pt>
                <c:pt idx="22">
                  <c:v>42.857142857142861</c:v>
                </c:pt>
                <c:pt idx="23">
                  <c:v>21.428571428571431</c:v>
                </c:pt>
                <c:pt idx="24">
                  <c:v>14.285714285714292</c:v>
                </c:pt>
                <c:pt idx="25">
                  <c:v>0</c:v>
                </c:pt>
                <c:pt idx="26">
                  <c:v>28.571428571428569</c:v>
                </c:pt>
                <c:pt idx="27">
                  <c:v>28.571428571428569</c:v>
                </c:pt>
                <c:pt idx="28">
                  <c:v>14.285714285714292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dLbls>
          <c:showVal val="1"/>
        </c:dLbls>
        <c:gapWidth val="55"/>
        <c:overlap val="100"/>
        <c:axId val="97929472"/>
        <c:axId val="97943936"/>
      </c:barChart>
      <c:lineChart>
        <c:grouping val="standard"/>
        <c:ser>
          <c:idx val="4"/>
          <c:order val="4"/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Ученик!$J$15:$J$54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val>
        </c:ser>
        <c:marker val="1"/>
        <c:axId val="97929472"/>
        <c:axId val="97943936"/>
      </c:lineChart>
      <c:catAx>
        <c:axId val="97929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Порядковый номер учащегося</a:t>
                </a:r>
              </a:p>
            </c:rich>
          </c:tx>
          <c:layout/>
        </c:title>
        <c:tickLblPos val="nextTo"/>
        <c:crossAx val="97943936"/>
        <c:crosses val="autoZero"/>
        <c:auto val="1"/>
        <c:lblAlgn val="ctr"/>
        <c:lblOffset val="100"/>
      </c:catAx>
      <c:valAx>
        <c:axId val="97943936"/>
        <c:scaling>
          <c:orientation val="minMax"/>
          <c:max val="200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 sz="1200">
                    <a:latin typeface="+mj-lt"/>
                  </a:defRPr>
                </a:pPr>
                <a:r>
                  <a:rPr lang="ru-RU" sz="1200">
                    <a:latin typeface="+mj-lt"/>
                  </a:rPr>
                  <a:t>   Базовый</a:t>
                </a:r>
                <a:r>
                  <a:rPr lang="ru-RU" sz="1200" baseline="0">
                    <a:latin typeface="+mj-lt"/>
                  </a:rPr>
                  <a:t> уровень                   Повышенный уровень</a:t>
                </a:r>
                <a:endParaRPr lang="ru-RU" sz="1200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1.5120331562118238E-2"/>
              <c:y val="5.780690056226713E-2"/>
            </c:manualLayout>
          </c:layout>
        </c:title>
        <c:numFmt formatCode="0" sourceLinked="0"/>
        <c:majorTickMark val="none"/>
        <c:tickLblPos val="none"/>
        <c:crossAx val="97929472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ayout/>
      <c:txPr>
        <a:bodyPr/>
        <a:lstStyle/>
        <a:p>
          <a:pPr>
            <a:defRPr sz="1050"/>
          </a:pPr>
          <a:endParaRPr lang="ru-RU"/>
        </a:p>
      </c:txPr>
    </c:legend>
    <c:dispBlanksAs val="gap"/>
  </c:chart>
  <c:printSettings>
    <c:headerFooter/>
    <c:pageMargins b="0.750000000000001" l="0.70000000000000062" r="0.70000000000000062" t="0.750000000000001" header="0.30000000000000032" footer="0.30000000000000032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/>
            </a:pPr>
            <a:r>
              <a:rPr lang="ru-RU" sz="1600" b="1" i="0" baseline="0">
                <a:effectLst/>
              </a:rPr>
              <a:t>Решаемость заданий по английскому языку в сравнении с "коридором" ожидаемой решаемости </a:t>
            </a:r>
            <a:endParaRPr lang="ru-RU" sz="1600">
              <a:effectLst/>
            </a:endParaRPr>
          </a:p>
        </c:rich>
      </c:tx>
      <c:layout>
        <c:manualLayout>
          <c:xMode val="edge"/>
          <c:yMode val="edge"/>
          <c:x val="0.11397281775421637"/>
          <c:y val="1.7638906247830141E-2"/>
        </c:manualLayout>
      </c:layout>
    </c:title>
    <c:plotArea>
      <c:layout>
        <c:manualLayout>
          <c:layoutTarget val="inner"/>
          <c:xMode val="edge"/>
          <c:yMode val="edge"/>
          <c:x val="2.5455594793919456E-2"/>
          <c:y val="8.8365451388889224E-2"/>
          <c:w val="0.96550764317947413"/>
          <c:h val="0.79888993055555668"/>
        </c:manualLayout>
      </c:layout>
      <c:areaChart>
        <c:grouping val="stacked"/>
        <c:ser>
          <c:idx val="0"/>
          <c:order val="0"/>
          <c:tx>
            <c:v>Границы коридора "ожидаемой" решаемости"</c:v>
          </c:tx>
          <c:spPr>
            <a:noFill/>
          </c:spPr>
          <c:cat>
            <c:strRef>
              <c:f>Коридор!$C$4:$Y$4</c:f>
              <c:strCache>
                <c:ptCount val="23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B3</c:v>
                </c:pt>
                <c:pt idx="5">
                  <c:v>B4</c:v>
                </c:pt>
                <c:pt idx="6">
                  <c:v>B5</c:v>
                </c:pt>
                <c:pt idx="7">
                  <c:v>B6</c:v>
                </c:pt>
                <c:pt idx="8">
                  <c:v>B7</c:v>
                </c:pt>
                <c:pt idx="9">
                  <c:v>B8</c:v>
                </c:pt>
                <c:pt idx="10">
                  <c:v>B9</c:v>
                </c:pt>
                <c:pt idx="11">
                  <c:v>B10</c:v>
                </c:pt>
                <c:pt idx="12">
                  <c:v>B11</c:v>
                </c:pt>
                <c:pt idx="13">
                  <c:v>B12</c:v>
                </c:pt>
                <c:pt idx="14">
                  <c:v>B13</c:v>
                </c:pt>
                <c:pt idx="15">
                  <c:v>B14</c:v>
                </c:pt>
                <c:pt idx="16">
                  <c:v>B15</c:v>
                </c:pt>
                <c:pt idx="17">
                  <c:v>B16</c:v>
                </c:pt>
                <c:pt idx="18">
                  <c:v>B17</c:v>
                </c:pt>
                <c:pt idx="19">
                  <c:v>B18</c:v>
                </c:pt>
                <c:pt idx="20">
                  <c:v>B19</c:v>
                </c:pt>
                <c:pt idx="21">
                  <c:v>B20</c:v>
                </c:pt>
                <c:pt idx="22">
                  <c:v>C1</c:v>
                </c:pt>
              </c:strCache>
            </c:strRef>
          </c:cat>
          <c:val>
            <c:numRef>
              <c:f>Коридор!$C$9:$Y$9</c:f>
              <c:numCache>
                <c:formatCode>0%</c:formatCode>
                <c:ptCount val="2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0.4</c:v>
                </c:pt>
                <c:pt idx="22">
                  <c:v>0.4</c:v>
                </c:pt>
              </c:numCache>
            </c:numRef>
          </c:val>
        </c:ser>
        <c:ser>
          <c:idx val="1"/>
          <c:order val="1"/>
          <c:tx>
            <c:v>Границы коридора "ожидаемой" решаемости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65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cat>
            <c:strRef>
              <c:f>Коридор!$C$4:$Y$4</c:f>
              <c:strCache>
                <c:ptCount val="23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B3</c:v>
                </c:pt>
                <c:pt idx="5">
                  <c:v>B4</c:v>
                </c:pt>
                <c:pt idx="6">
                  <c:v>B5</c:v>
                </c:pt>
                <c:pt idx="7">
                  <c:v>B6</c:v>
                </c:pt>
                <c:pt idx="8">
                  <c:v>B7</c:v>
                </c:pt>
                <c:pt idx="9">
                  <c:v>B8</c:v>
                </c:pt>
                <c:pt idx="10">
                  <c:v>B9</c:v>
                </c:pt>
                <c:pt idx="11">
                  <c:v>B10</c:v>
                </c:pt>
                <c:pt idx="12">
                  <c:v>B11</c:v>
                </c:pt>
                <c:pt idx="13">
                  <c:v>B12</c:v>
                </c:pt>
                <c:pt idx="14">
                  <c:v>B13</c:v>
                </c:pt>
                <c:pt idx="15">
                  <c:v>B14</c:v>
                </c:pt>
                <c:pt idx="16">
                  <c:v>B15</c:v>
                </c:pt>
                <c:pt idx="17">
                  <c:v>B16</c:v>
                </c:pt>
                <c:pt idx="18">
                  <c:v>B17</c:v>
                </c:pt>
                <c:pt idx="19">
                  <c:v>B18</c:v>
                </c:pt>
                <c:pt idx="20">
                  <c:v>B19</c:v>
                </c:pt>
                <c:pt idx="21">
                  <c:v>B20</c:v>
                </c:pt>
                <c:pt idx="22">
                  <c:v>C1</c:v>
                </c:pt>
              </c:strCache>
            </c:strRef>
          </c:cat>
          <c:val>
            <c:numRef>
              <c:f>Коридор!$C$8:$Y$8</c:f>
              <c:numCache>
                <c:formatCode>0%</c:formatCode>
                <c:ptCount val="2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0.2</c:v>
                </c:pt>
                <c:pt idx="22">
                  <c:v>0.2</c:v>
                </c:pt>
              </c:numCache>
            </c:numRef>
          </c:val>
        </c:ser>
        <c:axId val="82820096"/>
        <c:axId val="99361920"/>
      </c:areaChart>
      <c:scatterChart>
        <c:scatterStyle val="lineMarker"/>
        <c:ser>
          <c:idx val="2"/>
          <c:order val="2"/>
          <c:tx>
            <c:strRef>
              <c:f>Коридор!$A$7</c:f>
              <c:strCache>
                <c:ptCount val="1"/>
                <c:pt idx="0">
                  <c:v>Доля учащихся, справившихся с заданием полностью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1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yVal>
            <c:numRef>
              <c:f>Коридор!$C$7:$Y$7</c:f>
              <c:numCache>
                <c:formatCode>0%</c:formatCode>
                <c:ptCount val="23"/>
                <c:pt idx="0">
                  <c:v>0.89655172413793105</c:v>
                </c:pt>
                <c:pt idx="1">
                  <c:v>0.82758620689655171</c:v>
                </c:pt>
                <c:pt idx="2">
                  <c:v>0.96551724137931039</c:v>
                </c:pt>
                <c:pt idx="3">
                  <c:v>0.86206896551724133</c:v>
                </c:pt>
                <c:pt idx="4">
                  <c:v>0.68965517241379315</c:v>
                </c:pt>
                <c:pt idx="5">
                  <c:v>0.75862068965517238</c:v>
                </c:pt>
                <c:pt idx="6">
                  <c:v>0.75862068965517238</c:v>
                </c:pt>
                <c:pt idx="7">
                  <c:v>0.51724137931034486</c:v>
                </c:pt>
                <c:pt idx="8">
                  <c:v>0.51724137931034486</c:v>
                </c:pt>
                <c:pt idx="9">
                  <c:v>0.62068965517241381</c:v>
                </c:pt>
                <c:pt idx="10">
                  <c:v>0.58620689655172409</c:v>
                </c:pt>
                <c:pt idx="11">
                  <c:v>0.51724137931034486</c:v>
                </c:pt>
                <c:pt idx="12">
                  <c:v>0.7931034482758621</c:v>
                </c:pt>
                <c:pt idx="13">
                  <c:v>0.58620689655172409</c:v>
                </c:pt>
                <c:pt idx="14">
                  <c:v>0.7931034482758621</c:v>
                </c:pt>
                <c:pt idx="15">
                  <c:v>0.7931034482758621</c:v>
                </c:pt>
                <c:pt idx="16">
                  <c:v>0.58620689655172409</c:v>
                </c:pt>
                <c:pt idx="17">
                  <c:v>0.62068965517241381</c:v>
                </c:pt>
                <c:pt idx="18">
                  <c:v>0.41379310344827586</c:v>
                </c:pt>
                <c:pt idx="19">
                  <c:v>0.75862068965517238</c:v>
                </c:pt>
                <c:pt idx="20">
                  <c:v>0.7931034482758621</c:v>
                </c:pt>
                <c:pt idx="21">
                  <c:v>0.13793103448275862</c:v>
                </c:pt>
                <c:pt idx="22">
                  <c:v>0.27586206896551724</c:v>
                </c:pt>
              </c:numCache>
            </c:numRef>
          </c:yVal>
        </c:ser>
        <c:axId val="82820096"/>
        <c:axId val="99361920"/>
      </c:scatterChart>
      <c:catAx>
        <c:axId val="82820096"/>
        <c:scaling>
          <c:orientation val="minMax"/>
        </c:scaling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tickLblPos val="nextTo"/>
        <c:crossAx val="99361920"/>
        <c:crosses val="autoZero"/>
        <c:auto val="1"/>
        <c:lblAlgn val="ctr"/>
        <c:lblOffset val="100"/>
        <c:tickLblSkip val="1"/>
      </c:catAx>
      <c:valAx>
        <c:axId val="99361920"/>
        <c:scaling>
          <c:orientation val="minMax"/>
        </c:scaling>
        <c:axPos val="l"/>
        <c:numFmt formatCode="0%" sourceLinked="1"/>
        <c:tickLblPos val="nextTo"/>
        <c:crossAx val="82820096"/>
        <c:crosses val="autoZero"/>
        <c:crossBetween val="between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2.9842883500948519E-2"/>
          <c:y val="0.5906328375619716"/>
          <c:w val="0.53209989345391373"/>
          <c:h val="0.20872502048355068"/>
        </c:manualLayout>
      </c:layout>
      <c:txPr>
        <a:bodyPr/>
        <a:lstStyle/>
        <a:p>
          <a:pPr>
            <a:defRPr sz="1100" b="1"/>
          </a:pPr>
          <a:endParaRPr lang="ru-RU"/>
        </a:p>
      </c:txPr>
    </c:legend>
    <c:plotVisOnly val="1"/>
    <c:dispBlanksAs val="zero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6"/>
  <c:chart>
    <c:title>
      <c:tx>
        <c:rich>
          <a:bodyPr/>
          <a:lstStyle/>
          <a:p>
            <a:pPr algn="ctr" rtl="0">
              <a:defRPr lang="ru-RU" sz="1400" b="1" i="0" u="none" strike="noStrike" kern="1200" baseline="0">
                <a:solidFill>
                  <a:srgbClr val="000000"/>
                </a:solidFill>
                <a:latin typeface="+mj-lt"/>
                <a:ea typeface="Calibri"/>
                <a:cs typeface="Calibri"/>
              </a:defRPr>
            </a:pPr>
            <a:r>
              <a:rPr lang="ru-RU" sz="1400" b="1" i="0" u="none" strike="noStrike" kern="1200" baseline="0">
                <a:solidFill>
                  <a:srgbClr val="000000"/>
                </a:solidFill>
                <a:latin typeface="+mj-lt"/>
                <a:ea typeface="Calibri"/>
                <a:cs typeface="Calibri"/>
              </a:rPr>
              <a:t>Выполнение заданий базового уровня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5.7242582897033184E-2"/>
          <c:y val="0.10881250188554016"/>
          <c:w val="0.91553272594852242"/>
          <c:h val="0.72107448637885918"/>
        </c:manualLayout>
      </c:layout>
      <c:scatterChart>
        <c:scatterStyle val="smoothMarker"/>
        <c:ser>
          <c:idx val="1"/>
          <c:order val="1"/>
          <c:tx>
            <c:v>Уровень обязательной подготовки (не менее 6 баллов)</c:v>
          </c:tx>
          <c:spPr>
            <a:ln w="34925"/>
          </c:spPr>
          <c:marker>
            <c:symbol val="none"/>
          </c:marker>
          <c:xVal>
            <c:strRef>
              <c:f>Результаты_Класс!$C$20:$C$59</c:f>
              <c:strCach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strCache>
            </c:strRef>
          </c:xVal>
          <c:yVal>
            <c:numRef>
              <c:f>Результаты_Класс!$AR$20:$AR$59</c:f>
              <c:numCache>
                <c:formatCode>General</c:formatCode>
                <c:ptCount val="4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</c:numCache>
            </c:numRef>
          </c:yVal>
          <c:smooth val="1"/>
        </c:ser>
        <c:axId val="99420416"/>
        <c:axId val="99426688"/>
      </c:scatterChart>
      <c:scatterChart>
        <c:scatterStyle val="lineMarker"/>
        <c:ser>
          <c:idx val="0"/>
          <c:order val="0"/>
          <c:tx>
            <c:v>Ученик</c:v>
          </c:tx>
          <c:spPr>
            <a:ln w="66675">
              <a:noFill/>
            </a:ln>
          </c:spPr>
          <c:marker>
            <c:symbol val="diamond"/>
            <c:size val="7"/>
          </c:marker>
          <c:dLbls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Val val="1"/>
          </c:dLbls>
          <c:xVal>
            <c:strRef>
              <c:f>Результаты_Класс!$C$20:$C$59</c:f>
              <c:strCach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strCache>
            </c:strRef>
          </c:xVal>
          <c:yVal>
            <c:numRef>
              <c:f>Результаты_Класс!$AK$20:$AK$59</c:f>
              <c:numCache>
                <c:formatCode>General</c:formatCode>
                <c:ptCount val="40"/>
                <c:pt idx="0">
                  <c:v>6</c:v>
                </c:pt>
                <c:pt idx="1">
                  <c:v>11</c:v>
                </c:pt>
                <c:pt idx="2">
                  <c:v>8</c:v>
                </c:pt>
                <c:pt idx="3">
                  <c:v>6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11</c:v>
                </c:pt>
                <c:pt idx="15">
                  <c:v>5</c:v>
                </c:pt>
                <c:pt idx="16">
                  <c:v>9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10</c:v>
                </c:pt>
                <c:pt idx="22">
                  <c:v>6</c:v>
                </c:pt>
                <c:pt idx="23">
                  <c:v>9</c:v>
                </c:pt>
                <c:pt idx="24">
                  <c:v>9</c:v>
                </c:pt>
                <c:pt idx="25">
                  <c:v>11</c:v>
                </c:pt>
                <c:pt idx="26">
                  <c:v>6</c:v>
                </c:pt>
                <c:pt idx="27">
                  <c:v>11</c:v>
                </c:pt>
                <c:pt idx="28">
                  <c:v>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axId val="99420416"/>
        <c:axId val="99426688"/>
      </c:scatterChart>
      <c:valAx>
        <c:axId val="9942041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u-RU"/>
                  <a:t>Номер учащегося по журналу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99426688"/>
        <c:crosses val="autoZero"/>
        <c:crossBetween val="midCat"/>
        <c:majorUnit val="1"/>
      </c:valAx>
      <c:valAx>
        <c:axId val="99426688"/>
        <c:scaling>
          <c:orientation val="minMax"/>
          <c:max val="20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mbria"/>
                    <a:ea typeface="Cambria"/>
                    <a:cs typeface="Cambria"/>
                  </a:defRPr>
                </a:pPr>
                <a:r>
                  <a:rPr lang="ru-RU"/>
                  <a:t>количество  заданий базового уровня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99420416"/>
        <c:crosses val="autoZero"/>
        <c:crossBetween val="midCat"/>
      </c:valAx>
    </c:plotArea>
    <c:legend>
      <c:legendPos val="b"/>
      <c:layout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mbria"/>
              <a:ea typeface="Cambria"/>
              <a:cs typeface="Cambria"/>
            </a:defRPr>
          </a:pPr>
          <a:endParaRPr lang="ru-RU"/>
        </a:p>
      </c:txPr>
    </c:legend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6"/>
  <c:chart>
    <c:title>
      <c:tx>
        <c:rich>
          <a:bodyPr/>
          <a:lstStyle/>
          <a:p>
            <a:pPr algn="ctr" rtl="0">
              <a:defRPr lang="ru-RU" sz="1400" b="1" i="0" u="none" strike="noStrike" kern="1200" baseline="0">
                <a:solidFill>
                  <a:srgbClr val="000000"/>
                </a:solidFill>
                <a:latin typeface="+mj-lt"/>
                <a:ea typeface="Calibri"/>
                <a:cs typeface="Calibri"/>
              </a:defRPr>
            </a:pPr>
            <a:r>
              <a:rPr lang="ru-RU" sz="1400" b="1" i="0" u="none" strike="noStrike" kern="1200" baseline="0">
                <a:solidFill>
                  <a:srgbClr val="000000"/>
                </a:solidFill>
                <a:latin typeface="+mj-lt"/>
                <a:ea typeface="Calibri"/>
                <a:cs typeface="Calibri"/>
              </a:rPr>
              <a:t>Процент выполнения заданий базового уровня</a:t>
            </a:r>
          </a:p>
        </c:rich>
      </c:tx>
      <c:layout>
        <c:manualLayout>
          <c:xMode val="edge"/>
          <c:yMode val="edge"/>
          <c:x val="0.27026376162580984"/>
          <c:y val="3.1098236466261173E-2"/>
        </c:manualLayout>
      </c:layout>
    </c:title>
    <c:plotArea>
      <c:layout>
        <c:manualLayout>
          <c:layoutTarget val="inner"/>
          <c:xMode val="edge"/>
          <c:yMode val="edge"/>
          <c:x val="4.9593490813648548E-2"/>
          <c:y val="0.10881249599897568"/>
          <c:w val="0.92086603674540679"/>
          <c:h val="0.77011663197272751"/>
        </c:manualLayout>
      </c:layout>
      <c:scatterChart>
        <c:scatterStyle val="smoothMarker"/>
        <c:ser>
          <c:idx val="1"/>
          <c:order val="1"/>
          <c:tx>
            <c:v>Класс</c:v>
          </c:tx>
          <c:spPr>
            <a:ln w="34925"/>
          </c:spPr>
          <c:marker>
            <c:symbol val="none"/>
          </c:marker>
          <c:xVal>
            <c:strRef>
              <c:f>Результаты_Класс!$C$20:$C$59</c:f>
              <c:strCach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strCache>
            </c:strRef>
          </c:xVal>
          <c:yVal>
            <c:numRef>
              <c:f>Результаты_Класс!$AS$20:$AS$59</c:f>
              <c:numCache>
                <c:formatCode>0.0</c:formatCode>
                <c:ptCount val="40"/>
                <c:pt idx="0">
                  <c:v>69.905956112852664</c:v>
                </c:pt>
                <c:pt idx="1">
                  <c:v>69.905956112852664</c:v>
                </c:pt>
                <c:pt idx="2">
                  <c:v>69.905956112852664</c:v>
                </c:pt>
                <c:pt idx="3">
                  <c:v>69.905956112852664</c:v>
                </c:pt>
                <c:pt idx="4">
                  <c:v>69.905956112852664</c:v>
                </c:pt>
                <c:pt idx="5">
                  <c:v>69.905956112852664</c:v>
                </c:pt>
                <c:pt idx="6">
                  <c:v>69.905956112852664</c:v>
                </c:pt>
                <c:pt idx="7">
                  <c:v>69.905956112852664</c:v>
                </c:pt>
                <c:pt idx="8">
                  <c:v>69.905956112852664</c:v>
                </c:pt>
                <c:pt idx="9">
                  <c:v>69.905956112852664</c:v>
                </c:pt>
                <c:pt idx="10">
                  <c:v>69.905956112852664</c:v>
                </c:pt>
                <c:pt idx="11">
                  <c:v>69.905956112852664</c:v>
                </c:pt>
                <c:pt idx="12">
                  <c:v>69.905956112852664</c:v>
                </c:pt>
                <c:pt idx="13">
                  <c:v>69.905956112852664</c:v>
                </c:pt>
                <c:pt idx="14">
                  <c:v>69.905956112852664</c:v>
                </c:pt>
                <c:pt idx="15">
                  <c:v>69.905956112852664</c:v>
                </c:pt>
                <c:pt idx="16">
                  <c:v>69.905956112852664</c:v>
                </c:pt>
                <c:pt idx="17">
                  <c:v>69.905956112852664</c:v>
                </c:pt>
                <c:pt idx="18">
                  <c:v>69.905956112852664</c:v>
                </c:pt>
                <c:pt idx="19">
                  <c:v>69.905956112852664</c:v>
                </c:pt>
                <c:pt idx="20">
                  <c:v>69.905956112852664</c:v>
                </c:pt>
                <c:pt idx="21">
                  <c:v>69.905956112852664</c:v>
                </c:pt>
                <c:pt idx="22">
                  <c:v>69.905956112852664</c:v>
                </c:pt>
                <c:pt idx="23">
                  <c:v>69.905956112852664</c:v>
                </c:pt>
                <c:pt idx="24">
                  <c:v>69.905956112852664</c:v>
                </c:pt>
                <c:pt idx="25">
                  <c:v>69.905956112852664</c:v>
                </c:pt>
                <c:pt idx="26">
                  <c:v>69.905956112852664</c:v>
                </c:pt>
                <c:pt idx="27">
                  <c:v>69.905956112852664</c:v>
                </c:pt>
                <c:pt idx="28">
                  <c:v>69.905956112852664</c:v>
                </c:pt>
                <c:pt idx="29">
                  <c:v>69.905956112852664</c:v>
                </c:pt>
                <c:pt idx="30">
                  <c:v>69.905956112852664</c:v>
                </c:pt>
                <c:pt idx="31">
                  <c:v>69.905956112852664</c:v>
                </c:pt>
                <c:pt idx="32">
                  <c:v>69.905956112852664</c:v>
                </c:pt>
                <c:pt idx="33">
                  <c:v>69.905956112852664</c:v>
                </c:pt>
                <c:pt idx="34">
                  <c:v>69.905956112852664</c:v>
                </c:pt>
                <c:pt idx="35">
                  <c:v>69.905956112852664</c:v>
                </c:pt>
                <c:pt idx="36">
                  <c:v>69.905956112852664</c:v>
                </c:pt>
                <c:pt idx="37">
                  <c:v>69.905956112852664</c:v>
                </c:pt>
                <c:pt idx="38">
                  <c:v>69.905956112852664</c:v>
                </c:pt>
                <c:pt idx="39">
                  <c:v>69.905956112852664</c:v>
                </c:pt>
              </c:numCache>
            </c:numRef>
          </c:yVal>
          <c:smooth val="1"/>
        </c:ser>
        <c:axId val="99489664"/>
        <c:axId val="99495936"/>
      </c:scatterChart>
      <c:scatterChart>
        <c:scatterStyle val="lineMarker"/>
        <c:ser>
          <c:idx val="0"/>
          <c:order val="0"/>
          <c:tx>
            <c:v>Ученик</c:v>
          </c:tx>
          <c:spPr>
            <a:ln w="66675">
              <a:noFill/>
            </a:ln>
          </c:spPr>
          <c:marker>
            <c:symbol val="diamond"/>
            <c:size val="7"/>
          </c:marker>
          <c:dLbls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Val val="1"/>
          </c:dLbls>
          <c:xVal>
            <c:strRef>
              <c:f>Результаты_Класс!$C$20:$C$58</c:f>
              <c:strCach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strCache>
            </c:strRef>
          </c:xVal>
          <c:yVal>
            <c:numRef>
              <c:f>Результаты_Класс!$AL$20:$AL$59</c:f>
              <c:numCache>
                <c:formatCode>0.0</c:formatCode>
                <c:ptCount val="40"/>
                <c:pt idx="0">
                  <c:v>54.54545454545454</c:v>
                </c:pt>
                <c:pt idx="1">
                  <c:v>100</c:v>
                </c:pt>
                <c:pt idx="2">
                  <c:v>72.727272727272734</c:v>
                </c:pt>
                <c:pt idx="3">
                  <c:v>54.54545454545454</c:v>
                </c:pt>
                <c:pt idx="4">
                  <c:v>36.363636363636367</c:v>
                </c:pt>
                <c:pt idx="5">
                  <c:v>72.727272727272734</c:v>
                </c:pt>
                <c:pt idx="6">
                  <c:v>54.54545454545454</c:v>
                </c:pt>
                <c:pt idx="7">
                  <c:v>72.727272727272734</c:v>
                </c:pt>
                <c:pt idx="8">
                  <c:v>81.818181818181827</c:v>
                </c:pt>
                <c:pt idx="9">
                  <c:v>100</c:v>
                </c:pt>
                <c:pt idx="10">
                  <c:v>54.54545454545454</c:v>
                </c:pt>
                <c:pt idx="11">
                  <c:v>54.54545454545454</c:v>
                </c:pt>
                <c:pt idx="12">
                  <c:v>45.454545454545453</c:v>
                </c:pt>
                <c:pt idx="13">
                  <c:v>54.54545454545454</c:v>
                </c:pt>
                <c:pt idx="14">
                  <c:v>100</c:v>
                </c:pt>
                <c:pt idx="15">
                  <c:v>45.454545454545453</c:v>
                </c:pt>
                <c:pt idx="16">
                  <c:v>81.818181818181827</c:v>
                </c:pt>
                <c:pt idx="17">
                  <c:v>54.54545454545454</c:v>
                </c:pt>
                <c:pt idx="18">
                  <c:v>63.636363636363633</c:v>
                </c:pt>
                <c:pt idx="19">
                  <c:v>54.54545454545454</c:v>
                </c:pt>
                <c:pt idx="20">
                  <c:v>72.727272727272734</c:v>
                </c:pt>
                <c:pt idx="21">
                  <c:v>90.909090909090907</c:v>
                </c:pt>
                <c:pt idx="22">
                  <c:v>54.54545454545454</c:v>
                </c:pt>
                <c:pt idx="23">
                  <c:v>81.818181818181827</c:v>
                </c:pt>
                <c:pt idx="24">
                  <c:v>81.818181818181827</c:v>
                </c:pt>
                <c:pt idx="25">
                  <c:v>100</c:v>
                </c:pt>
                <c:pt idx="26">
                  <c:v>54.54545454545454</c:v>
                </c:pt>
                <c:pt idx="27">
                  <c:v>100</c:v>
                </c:pt>
                <c:pt idx="28">
                  <c:v>81.818181818181827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axId val="99489664"/>
        <c:axId val="99495936"/>
      </c:scatterChart>
      <c:valAx>
        <c:axId val="9948966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u-RU" sz="1050"/>
                  <a:t>Номер учащегося по журналу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99495936"/>
        <c:crosses val="autoZero"/>
        <c:crossBetween val="midCat"/>
        <c:majorUnit val="1"/>
      </c:valAx>
      <c:valAx>
        <c:axId val="99495936"/>
        <c:scaling>
          <c:orientation val="minMax"/>
          <c:max val="100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mbria"/>
                    <a:ea typeface="Cambria"/>
                    <a:cs typeface="Cambria"/>
                  </a:defRPr>
                </a:pPr>
                <a:r>
                  <a:rPr lang="ru-RU"/>
                  <a:t>процент выполнения  заданий базового уровня</a:t>
                </a:r>
              </a:p>
            </c:rich>
          </c:tx>
          <c:layout/>
        </c:title>
        <c:numFmt formatCode="0" sourceLinked="0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9948966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78669740259382792"/>
          <c:y val="2.9205839236650606E-2"/>
          <c:w val="0.18053181967154419"/>
          <c:h val="5.4319297044391437E-2"/>
        </c:manualLayout>
      </c:layout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mbria"/>
              <a:ea typeface="Cambria"/>
              <a:cs typeface="Cambria"/>
            </a:defRPr>
          </a:pPr>
          <a:endParaRPr lang="ru-RU"/>
        </a:p>
      </c:txPr>
    </c:legend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depthPercent val="100"/>
      <c:rAngAx val="1"/>
    </c:view3D>
    <c:plotArea>
      <c:layout/>
      <c:bar3DChart>
        <c:barDir val="col"/>
        <c:grouping val="clustered"/>
        <c:ser>
          <c:idx val="1"/>
          <c:order val="0"/>
          <c:tx>
            <c:strRef>
              <c:f>Базовый_З!$A$6</c:f>
              <c:strCache>
                <c:ptCount val="1"/>
                <c:pt idx="0">
                  <c:v>Доля учащихся полностьювы полнивших задание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>
                <c:manualLayout>
                  <c:x val="7.9522862823061761E-3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 i="0" baseline="0"/>
                </a:pPr>
                <a:endParaRPr lang="ru-RU"/>
              </a:p>
            </c:txPr>
            <c:showVal val="1"/>
          </c:dLbls>
          <c:cat>
            <c:strRef>
              <c:f>Базовый_З!$B$4:$Q$4</c:f>
              <c:strCache>
                <c:ptCount val="11"/>
                <c:pt idx="0">
                  <c:v>А1</c:v>
                </c:pt>
                <c:pt idx="1">
                  <c:v>В1</c:v>
                </c:pt>
                <c:pt idx="2">
                  <c:v>В2</c:v>
                </c:pt>
                <c:pt idx="3">
                  <c:v>В3</c:v>
                </c:pt>
                <c:pt idx="4">
                  <c:v>В4</c:v>
                </c:pt>
                <c:pt idx="5">
                  <c:v>В5</c:v>
                </c:pt>
                <c:pt idx="6">
                  <c:v>В6</c:v>
                </c:pt>
                <c:pt idx="7">
                  <c:v>В7</c:v>
                </c:pt>
                <c:pt idx="8">
                  <c:v>В8</c:v>
                </c:pt>
                <c:pt idx="9">
                  <c:v>В9</c:v>
                </c:pt>
                <c:pt idx="10">
                  <c:v>В10</c:v>
                </c:pt>
              </c:strCache>
            </c:strRef>
          </c:cat>
          <c:val>
            <c:numRef>
              <c:f>Базовый_З!$B$6:$Q$6</c:f>
              <c:numCache>
                <c:formatCode>0.0</c:formatCode>
                <c:ptCount val="11"/>
                <c:pt idx="0">
                  <c:v>89.65517241379311</c:v>
                </c:pt>
                <c:pt idx="1">
                  <c:v>96.551724137931032</c:v>
                </c:pt>
                <c:pt idx="2">
                  <c:v>86.206896551724128</c:v>
                </c:pt>
                <c:pt idx="3">
                  <c:v>68.965517241379317</c:v>
                </c:pt>
                <c:pt idx="4">
                  <c:v>75.862068965517238</c:v>
                </c:pt>
                <c:pt idx="5">
                  <c:v>75.862068965517238</c:v>
                </c:pt>
                <c:pt idx="6">
                  <c:v>51.724137931034484</c:v>
                </c:pt>
                <c:pt idx="7">
                  <c:v>51.724137931034484</c:v>
                </c:pt>
                <c:pt idx="8">
                  <c:v>62.068965517241381</c:v>
                </c:pt>
                <c:pt idx="9">
                  <c:v>58.620689655172406</c:v>
                </c:pt>
                <c:pt idx="10">
                  <c:v>51.724137931034484</c:v>
                </c:pt>
              </c:numCache>
            </c:numRef>
          </c:val>
        </c:ser>
        <c:shape val="box"/>
        <c:axId val="99635584"/>
        <c:axId val="99637504"/>
        <c:axId val="0"/>
      </c:bar3DChart>
      <c:catAx>
        <c:axId val="99635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>
                    <a:latin typeface="+mj-lt"/>
                  </a:defRPr>
                </a:pPr>
                <a:r>
                  <a:rPr lang="ru-RU" sz="1200">
                    <a:latin typeface="+mj-lt"/>
                  </a:rPr>
                  <a:t>Номер задания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99637504"/>
        <c:crosses val="autoZero"/>
        <c:auto val="1"/>
        <c:lblAlgn val="ctr"/>
        <c:lblOffset val="100"/>
      </c:catAx>
      <c:valAx>
        <c:axId val="99637504"/>
        <c:scaling>
          <c:orientation val="minMax"/>
        </c:scaling>
        <c:axPos val="l"/>
        <c:majorGridlines>
          <c:spPr>
            <a:ln w="254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>
                    <a:latin typeface="+mj-lt"/>
                  </a:defRPr>
                </a:pPr>
                <a:r>
                  <a:rPr lang="ru-RU" sz="1100">
                    <a:latin typeface="+mj-lt"/>
                  </a:rPr>
                  <a:t>Доля выполнения задания</a:t>
                </a:r>
              </a:p>
            </c:rich>
          </c:tx>
          <c:layout/>
        </c:title>
        <c:numFmt formatCode="0" sourceLinked="0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99635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6"/>
  <c:chart>
    <c:title>
      <c:tx>
        <c:rich>
          <a:bodyPr/>
          <a:lstStyle/>
          <a:p>
            <a:pPr algn="ctr" rtl="0">
              <a:defRPr lang="ru-RU" sz="1400" b="1" i="0" u="none" strike="noStrike" kern="1200" baseline="0">
                <a:solidFill>
                  <a:srgbClr val="000000"/>
                </a:solidFill>
                <a:latin typeface="+mj-lt"/>
                <a:ea typeface="Calibri"/>
                <a:cs typeface="Calibri"/>
              </a:defRPr>
            </a:pPr>
            <a:r>
              <a:rPr lang="ru-RU" sz="1400" b="1" i="0" u="none" strike="noStrike" kern="1200" baseline="0">
                <a:solidFill>
                  <a:srgbClr val="000000"/>
                </a:solidFill>
                <a:latin typeface="+mj-lt"/>
                <a:ea typeface="Calibri"/>
                <a:cs typeface="Calibri"/>
              </a:rPr>
              <a:t>Выполнение заданий повышенного уровня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5.7242582897033184E-2"/>
          <c:y val="0.10881250188554016"/>
          <c:w val="0.91553272594852242"/>
          <c:h val="0.72107448637885918"/>
        </c:manualLayout>
      </c:layout>
      <c:scatterChart>
        <c:scatterStyle val="lineMarker"/>
        <c:ser>
          <c:idx val="0"/>
          <c:order val="0"/>
          <c:tx>
            <c:v>Ученик</c:v>
          </c:tx>
          <c:spPr>
            <a:ln w="66675">
              <a:noFill/>
            </a:ln>
          </c:spPr>
          <c:marker>
            <c:symbol val="diamond"/>
            <c:size val="7"/>
          </c:marker>
          <c:dLbls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Val val="1"/>
          </c:dLbls>
          <c:xVal>
            <c:strRef>
              <c:f>Результаты_Класс!$C$20:$C$59</c:f>
              <c:strCach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strCache>
            </c:strRef>
          </c:xVal>
          <c:yVal>
            <c:numRef>
              <c:f>Результаты_Класс!$AM$20:$AM$59</c:f>
              <c:numCache>
                <c:formatCode>General</c:formatCode>
                <c:ptCount val="40"/>
                <c:pt idx="0">
                  <c:v>7</c:v>
                </c:pt>
                <c:pt idx="1">
                  <c:v>14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13</c:v>
                </c:pt>
                <c:pt idx="6">
                  <c:v>2</c:v>
                </c:pt>
                <c:pt idx="7">
                  <c:v>11</c:v>
                </c:pt>
                <c:pt idx="8">
                  <c:v>13</c:v>
                </c:pt>
                <c:pt idx="9">
                  <c:v>12</c:v>
                </c:pt>
                <c:pt idx="10">
                  <c:v>12</c:v>
                </c:pt>
                <c:pt idx="11">
                  <c:v>8</c:v>
                </c:pt>
                <c:pt idx="12">
                  <c:v>4</c:v>
                </c:pt>
                <c:pt idx="13">
                  <c:v>7</c:v>
                </c:pt>
                <c:pt idx="14">
                  <c:v>14</c:v>
                </c:pt>
                <c:pt idx="15">
                  <c:v>3</c:v>
                </c:pt>
                <c:pt idx="16">
                  <c:v>13</c:v>
                </c:pt>
                <c:pt idx="17">
                  <c:v>6</c:v>
                </c:pt>
                <c:pt idx="18">
                  <c:v>13</c:v>
                </c:pt>
                <c:pt idx="19">
                  <c:v>4</c:v>
                </c:pt>
                <c:pt idx="20">
                  <c:v>11</c:v>
                </c:pt>
                <c:pt idx="21">
                  <c:v>14</c:v>
                </c:pt>
                <c:pt idx="22">
                  <c:v>8</c:v>
                </c:pt>
                <c:pt idx="23">
                  <c:v>11</c:v>
                </c:pt>
                <c:pt idx="24">
                  <c:v>12</c:v>
                </c:pt>
                <c:pt idx="25">
                  <c:v>14</c:v>
                </c:pt>
                <c:pt idx="26">
                  <c:v>10</c:v>
                </c:pt>
                <c:pt idx="27">
                  <c:v>10</c:v>
                </c:pt>
                <c:pt idx="28">
                  <c:v>12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axId val="104274560"/>
        <c:axId val="104284928"/>
      </c:scatterChart>
      <c:valAx>
        <c:axId val="10427456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u-RU"/>
                  <a:t>Номер учащегося по журналу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4284928"/>
        <c:crosses val="autoZero"/>
        <c:crossBetween val="midCat"/>
        <c:majorUnit val="1"/>
      </c:valAx>
      <c:valAx>
        <c:axId val="104284928"/>
        <c:scaling>
          <c:orientation val="minMax"/>
          <c:max val="20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mbria"/>
                    <a:ea typeface="Cambria"/>
                    <a:cs typeface="Cambria"/>
                  </a:defRPr>
                </a:pPr>
                <a:r>
                  <a:rPr lang="ru-RU"/>
                  <a:t>количество  баллов за задания повышенного уровня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427456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84267036568615461"/>
          <c:y val="2.1248002682299563E-2"/>
          <c:w val="8.0116954292630521E-2"/>
          <c:h val="4.9942948748172948E-2"/>
        </c:manualLayout>
      </c:layout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mbria"/>
              <a:ea typeface="Cambria"/>
              <a:cs typeface="Cambria"/>
            </a:defRPr>
          </a:pPr>
          <a:endParaRPr lang="ru-RU"/>
        </a:p>
      </c:txPr>
    </c:legend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6"/>
  <c:chart>
    <c:title>
      <c:tx>
        <c:rich>
          <a:bodyPr/>
          <a:lstStyle/>
          <a:p>
            <a:pPr algn="ctr" rtl="0">
              <a:defRPr lang="ru-RU" sz="1400" b="1" i="0" u="none" strike="noStrike" kern="1200" baseline="0">
                <a:solidFill>
                  <a:srgbClr val="000000"/>
                </a:solidFill>
                <a:latin typeface="+mj-lt"/>
                <a:ea typeface="Calibri"/>
                <a:cs typeface="Calibri"/>
              </a:defRPr>
            </a:pPr>
            <a:r>
              <a:rPr lang="ru-RU" sz="1400" b="1" i="0" u="none" strike="noStrike" kern="1200" baseline="0">
                <a:solidFill>
                  <a:srgbClr val="000000"/>
                </a:solidFill>
                <a:latin typeface="+mj-lt"/>
                <a:ea typeface="Calibri"/>
                <a:cs typeface="Calibri"/>
              </a:rPr>
              <a:t>Процент выполнения заданий повышенного уровня</a:t>
            </a:r>
          </a:p>
        </c:rich>
      </c:tx>
      <c:layout>
        <c:manualLayout>
          <c:xMode val="edge"/>
          <c:yMode val="edge"/>
          <c:x val="0.27026376162580984"/>
          <c:y val="3.1098236466261173E-2"/>
        </c:manualLayout>
      </c:layout>
    </c:title>
    <c:plotArea>
      <c:layout>
        <c:manualLayout>
          <c:layoutTarget val="inner"/>
          <c:xMode val="edge"/>
          <c:yMode val="edge"/>
          <c:x val="4.9593490813648548E-2"/>
          <c:y val="0.10881249599897568"/>
          <c:w val="0.92086603674540679"/>
          <c:h val="0.77011663197272751"/>
        </c:manualLayout>
      </c:layout>
      <c:scatterChart>
        <c:scatterStyle val="lineMarker"/>
        <c:ser>
          <c:idx val="0"/>
          <c:order val="0"/>
          <c:tx>
            <c:v>Ученик</c:v>
          </c:tx>
          <c:spPr>
            <a:ln w="66675">
              <a:noFill/>
            </a:ln>
          </c:spPr>
          <c:marker>
            <c:symbol val="diamond"/>
            <c:size val="7"/>
          </c:marker>
          <c:dLbls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Val val="1"/>
          </c:dLbls>
          <c:xVal>
            <c:strRef>
              <c:f>Результаты_Класс!$C$20:$C$59</c:f>
              <c:strCach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strCache>
            </c:strRef>
          </c:xVal>
          <c:yVal>
            <c:numRef>
              <c:f>Результаты_Класс!$AN$20:$AN$59</c:f>
              <c:numCache>
                <c:formatCode>0.0</c:formatCode>
                <c:ptCount val="40"/>
                <c:pt idx="0">
                  <c:v>50</c:v>
                </c:pt>
                <c:pt idx="1">
                  <c:v>100</c:v>
                </c:pt>
                <c:pt idx="2">
                  <c:v>35.714285714285715</c:v>
                </c:pt>
                <c:pt idx="3">
                  <c:v>35.714285714285715</c:v>
                </c:pt>
                <c:pt idx="4">
                  <c:v>28.571428571428569</c:v>
                </c:pt>
                <c:pt idx="5">
                  <c:v>92.857142857142861</c:v>
                </c:pt>
                <c:pt idx="6">
                  <c:v>14.285714285714285</c:v>
                </c:pt>
                <c:pt idx="7">
                  <c:v>78.571428571428569</c:v>
                </c:pt>
                <c:pt idx="8">
                  <c:v>92.857142857142861</c:v>
                </c:pt>
                <c:pt idx="9">
                  <c:v>85.714285714285708</c:v>
                </c:pt>
                <c:pt idx="10">
                  <c:v>85.714285714285708</c:v>
                </c:pt>
                <c:pt idx="11">
                  <c:v>57.142857142857139</c:v>
                </c:pt>
                <c:pt idx="12">
                  <c:v>28.571428571428569</c:v>
                </c:pt>
                <c:pt idx="13">
                  <c:v>50</c:v>
                </c:pt>
                <c:pt idx="14">
                  <c:v>100</c:v>
                </c:pt>
                <c:pt idx="15">
                  <c:v>21.428571428571427</c:v>
                </c:pt>
                <c:pt idx="16">
                  <c:v>92.857142857142861</c:v>
                </c:pt>
                <c:pt idx="17">
                  <c:v>42.857142857142854</c:v>
                </c:pt>
                <c:pt idx="18">
                  <c:v>92.857142857142861</c:v>
                </c:pt>
                <c:pt idx="19">
                  <c:v>28.571428571428569</c:v>
                </c:pt>
                <c:pt idx="20">
                  <c:v>78.571428571428569</c:v>
                </c:pt>
                <c:pt idx="21">
                  <c:v>100</c:v>
                </c:pt>
                <c:pt idx="22">
                  <c:v>57.142857142857139</c:v>
                </c:pt>
                <c:pt idx="23">
                  <c:v>78.571428571428569</c:v>
                </c:pt>
                <c:pt idx="24">
                  <c:v>85.714285714285708</c:v>
                </c:pt>
                <c:pt idx="25">
                  <c:v>100</c:v>
                </c:pt>
                <c:pt idx="26">
                  <c:v>71.428571428571431</c:v>
                </c:pt>
                <c:pt idx="27">
                  <c:v>71.428571428571431</c:v>
                </c:pt>
                <c:pt idx="28">
                  <c:v>85.714285714285708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</c:ser>
        <c:axId val="99550336"/>
        <c:axId val="99552256"/>
      </c:scatterChart>
      <c:valAx>
        <c:axId val="9955033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u-RU" sz="1050"/>
                  <a:t>Номер учащегося по журналу</a:t>
                </a:r>
              </a:p>
            </c:rich>
          </c:tx>
        </c:title>
        <c:numFmt formatCode="General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99552256"/>
        <c:crosses val="autoZero"/>
        <c:crossBetween val="midCat"/>
        <c:majorUnit val="1"/>
      </c:valAx>
      <c:valAx>
        <c:axId val="99552256"/>
        <c:scaling>
          <c:orientation val="minMax"/>
          <c:max val="100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mbria"/>
                    <a:ea typeface="Cambria"/>
                    <a:cs typeface="Cambria"/>
                  </a:defRPr>
                </a:pPr>
                <a:r>
                  <a:rPr lang="ru-RU"/>
                  <a:t>процент выполнения  заданий базового уровня</a:t>
                </a:r>
              </a:p>
            </c:rich>
          </c:tx>
        </c:title>
        <c:numFmt formatCode="0" sourceLinked="0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9955033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78669740259382792"/>
          <c:y val="2.9205839236650606E-2"/>
          <c:w val="0.18053181967154419"/>
          <c:h val="5.4319297044391437E-2"/>
        </c:manualLayout>
      </c:layout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mbria"/>
              <a:ea typeface="Cambria"/>
              <a:cs typeface="Cambria"/>
            </a:defRPr>
          </a:pPr>
          <a:endParaRPr lang="ru-RU"/>
        </a:p>
      </c:txPr>
    </c:legend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85725</xdr:rowOff>
    </xdr:from>
    <xdr:to>
      <xdr:col>6</xdr:col>
      <xdr:colOff>219075</xdr:colOff>
      <xdr:row>31</xdr:row>
      <xdr:rowOff>66675</xdr:rowOff>
    </xdr:to>
    <xdr:graphicFrame macro="">
      <xdr:nvGraphicFramePr>
        <xdr:cNvPr id="1060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8</xdr:row>
      <xdr:rowOff>47625</xdr:rowOff>
    </xdr:from>
    <xdr:to>
      <xdr:col>9</xdr:col>
      <xdr:colOff>628650</xdr:colOff>
      <xdr:row>30</xdr:row>
      <xdr:rowOff>123825</xdr:rowOff>
    </xdr:to>
    <xdr:graphicFrame macro="">
      <xdr:nvGraphicFramePr>
        <xdr:cNvPr id="44266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3</xdr:row>
      <xdr:rowOff>19050</xdr:rowOff>
    </xdr:from>
    <xdr:to>
      <xdr:col>13</xdr:col>
      <xdr:colOff>419101</xdr:colOff>
      <xdr:row>33</xdr:row>
      <xdr:rowOff>51858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7</xdr:row>
      <xdr:rowOff>28575</xdr:rowOff>
    </xdr:from>
    <xdr:to>
      <xdr:col>24</xdr:col>
      <xdr:colOff>390525</xdr:colOff>
      <xdr:row>16</xdr:row>
      <xdr:rowOff>142875</xdr:rowOff>
    </xdr:to>
    <xdr:graphicFrame macro="">
      <xdr:nvGraphicFramePr>
        <xdr:cNvPr id="1600554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5</xdr:row>
      <xdr:rowOff>104775</xdr:rowOff>
    </xdr:from>
    <xdr:to>
      <xdr:col>7</xdr:col>
      <xdr:colOff>9525</xdr:colOff>
      <xdr:row>32</xdr:row>
      <xdr:rowOff>104775</xdr:rowOff>
    </xdr:to>
    <xdr:graphicFrame macro="">
      <xdr:nvGraphicFramePr>
        <xdr:cNvPr id="10694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171450</xdr:colOff>
      <xdr:row>35</xdr:row>
      <xdr:rowOff>38100</xdr:rowOff>
    </xdr:from>
    <xdr:to>
      <xdr:col>6</xdr:col>
      <xdr:colOff>533400</xdr:colOff>
      <xdr:row>69</xdr:row>
      <xdr:rowOff>161925</xdr:rowOff>
    </xdr:to>
    <xdr:graphicFrame macro="">
      <xdr:nvGraphicFramePr>
        <xdr:cNvPr id="106944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</xdr:row>
      <xdr:rowOff>66675</xdr:rowOff>
    </xdr:from>
    <xdr:to>
      <xdr:col>22</xdr:col>
      <xdr:colOff>276225</xdr:colOff>
      <xdr:row>31</xdr:row>
      <xdr:rowOff>123825</xdr:rowOff>
    </xdr:to>
    <xdr:graphicFrame macro="">
      <xdr:nvGraphicFramePr>
        <xdr:cNvPr id="173781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5</xdr:row>
      <xdr:rowOff>104775</xdr:rowOff>
    </xdr:from>
    <xdr:to>
      <xdr:col>7</xdr:col>
      <xdr:colOff>9525</xdr:colOff>
      <xdr:row>32</xdr:row>
      <xdr:rowOff>104775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171450</xdr:colOff>
      <xdr:row>35</xdr:row>
      <xdr:rowOff>38100</xdr:rowOff>
    </xdr:from>
    <xdr:to>
      <xdr:col>6</xdr:col>
      <xdr:colOff>533400</xdr:colOff>
      <xdr:row>69</xdr:row>
      <xdr:rowOff>161925</xdr:rowOff>
    </xdr:to>
    <xdr:graphicFrame macro="">
      <xdr:nvGraphicFramePr>
        <xdr:cNvPr id="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9525</xdr:rowOff>
    </xdr:from>
    <xdr:to>
      <xdr:col>14</xdr:col>
      <xdr:colOff>285750</xdr:colOff>
      <xdr:row>33</xdr:row>
      <xdr:rowOff>152400</xdr:rowOff>
    </xdr:to>
    <xdr:graphicFrame macro="">
      <xdr:nvGraphicFramePr>
        <xdr:cNvPr id="192741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25</xdr:row>
      <xdr:rowOff>19050</xdr:rowOff>
    </xdr:from>
    <xdr:to>
      <xdr:col>15</xdr:col>
      <xdr:colOff>390525</xdr:colOff>
      <xdr:row>52</xdr:row>
      <xdr:rowOff>19050</xdr:rowOff>
    </xdr:to>
    <xdr:graphicFrame macro="">
      <xdr:nvGraphicFramePr>
        <xdr:cNvPr id="22856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62</xdr:row>
      <xdr:rowOff>152400</xdr:rowOff>
    </xdr:from>
    <xdr:to>
      <xdr:col>15</xdr:col>
      <xdr:colOff>476250</xdr:colOff>
      <xdr:row>89</xdr:row>
      <xdr:rowOff>152400</xdr:rowOff>
    </xdr:to>
    <xdr:graphicFrame macro="">
      <xdr:nvGraphicFramePr>
        <xdr:cNvPr id="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S114"/>
  <sheetViews>
    <sheetView view="pageLayout" topLeftCell="B12" zoomScaleNormal="110" workbookViewId="0">
      <selection activeCell="I43" sqref="I43"/>
    </sheetView>
  </sheetViews>
  <sheetFormatPr defaultRowHeight="12.75"/>
  <cols>
    <col min="1" max="1" width="9.42578125" style="1" hidden="1" customWidth="1"/>
    <col min="2" max="2" width="4.140625" style="1" customWidth="1"/>
    <col min="3" max="3" width="6.140625" style="54" customWidth="1"/>
    <col min="4" max="4" width="25" style="1" customWidth="1"/>
    <col min="5" max="5" width="20.28515625" style="1" customWidth="1"/>
    <col min="6" max="6" width="13.7109375" style="1" customWidth="1"/>
    <col min="7" max="7" width="11.5703125" style="1" customWidth="1"/>
    <col min="8" max="8" width="11.42578125" style="1" customWidth="1"/>
    <col min="9" max="9" width="16" style="1" customWidth="1"/>
    <col min="10" max="10" width="12.140625" style="1" customWidth="1"/>
    <col min="11" max="12" width="5.140625" style="1" customWidth="1"/>
    <col min="13" max="13" width="6.5703125" style="1" customWidth="1"/>
    <col min="14" max="14" width="5" style="1" hidden="1" customWidth="1"/>
    <col min="15" max="15" width="12.85546875" style="1" customWidth="1"/>
    <col min="16" max="16" width="8.140625" style="1" customWidth="1"/>
    <col min="17" max="18" width="9.140625" style="1"/>
    <col min="19" max="19" width="0" style="1" hidden="1" customWidth="1"/>
    <col min="20" max="16384" width="9.140625" style="1"/>
  </cols>
  <sheetData>
    <row r="1" spans="1:19" s="4" customFormat="1" ht="30.75" customHeight="1" thickBot="1">
      <c r="A1" s="187">
        <v>130905</v>
      </c>
      <c r="B1" s="57"/>
      <c r="C1" s="58"/>
      <c r="D1" s="57"/>
      <c r="E1" s="59"/>
      <c r="F1" s="57"/>
      <c r="G1" s="59" t="s">
        <v>8</v>
      </c>
      <c r="H1" s="60" t="s">
        <v>293</v>
      </c>
      <c r="I1" s="59" t="s">
        <v>9</v>
      </c>
      <c r="J1" s="60" t="s">
        <v>282</v>
      </c>
      <c r="L1" s="13"/>
      <c r="S1" s="4">
        <f>IF(S19=0,0,1)</f>
        <v>0</v>
      </c>
    </row>
    <row r="2" spans="1:19" ht="13.5" thickBot="1">
      <c r="A2" s="188">
        <v>17</v>
      </c>
      <c r="B2" s="61"/>
      <c r="C2" s="62"/>
      <c r="D2" s="63"/>
      <c r="E2" s="63"/>
      <c r="F2" s="63"/>
      <c r="G2" s="63"/>
      <c r="H2" s="63"/>
      <c r="I2" s="63"/>
      <c r="J2" s="63"/>
      <c r="K2" s="2"/>
      <c r="L2" s="2"/>
    </row>
    <row r="3" spans="1:19" s="3" customFormat="1" ht="36" customHeight="1" thickBot="1">
      <c r="A3" s="189">
        <v>41</v>
      </c>
      <c r="B3" s="482" t="s">
        <v>132</v>
      </c>
      <c r="C3" s="483"/>
      <c r="D3" s="487"/>
      <c r="E3" s="488" t="s">
        <v>294</v>
      </c>
      <c r="F3" s="489"/>
      <c r="G3" s="489"/>
      <c r="H3" s="489"/>
      <c r="I3" s="489"/>
      <c r="J3" s="490"/>
      <c r="K3" s="15"/>
      <c r="L3" s="17"/>
    </row>
    <row r="4" spans="1:19" s="3" customFormat="1" ht="30" customHeight="1" thickBot="1">
      <c r="A4" s="189"/>
      <c r="B4" s="482" t="s">
        <v>184</v>
      </c>
      <c r="C4" s="483"/>
      <c r="D4" s="484"/>
      <c r="E4" s="203">
        <v>29</v>
      </c>
      <c r="K4" s="15"/>
      <c r="L4" s="17"/>
    </row>
    <row r="5" spans="1:19" ht="12.75" customHeight="1">
      <c r="A5" s="1">
        <f>SUM(S1,'Ответы учащихся'!AT1)</f>
        <v>0</v>
      </c>
      <c r="B5" s="61"/>
      <c r="C5" s="64"/>
      <c r="D5" s="65"/>
      <c r="E5" s="65"/>
      <c r="F5" s="65"/>
      <c r="G5" s="65"/>
      <c r="H5" s="65"/>
      <c r="I5" s="65"/>
      <c r="J5" s="65"/>
      <c r="K5" s="8"/>
      <c r="L5" s="8"/>
    </row>
    <row r="6" spans="1:19" ht="18" hidden="1">
      <c r="B6" s="66">
        <v>4</v>
      </c>
      <c r="C6" s="67" t="s">
        <v>23</v>
      </c>
      <c r="D6" s="68"/>
      <c r="E6" s="68"/>
      <c r="F6" s="69"/>
      <c r="G6" s="63"/>
      <c r="H6" s="63"/>
      <c r="I6" s="63"/>
      <c r="J6" s="63"/>
      <c r="K6" s="2"/>
      <c r="L6" s="2"/>
    </row>
    <row r="7" spans="1:19" ht="15.75">
      <c r="B7" s="485" t="s">
        <v>76</v>
      </c>
      <c r="C7" s="486"/>
      <c r="D7" s="486"/>
      <c r="E7" s="486"/>
      <c r="F7" s="486"/>
      <c r="G7" s="486"/>
      <c r="H7" s="486"/>
      <c r="I7" s="486"/>
      <c r="J7" s="486"/>
      <c r="K7" s="36"/>
      <c r="L7" s="36"/>
      <c r="N7" s="5"/>
    </row>
    <row r="8" spans="1:19" ht="15.75">
      <c r="B8" s="70" t="s">
        <v>4</v>
      </c>
      <c r="C8" s="71" t="s">
        <v>5</v>
      </c>
      <c r="D8" s="70" t="s">
        <v>6</v>
      </c>
      <c r="E8" s="70" t="s">
        <v>7</v>
      </c>
      <c r="F8" s="72" t="s">
        <v>133</v>
      </c>
      <c r="G8" s="73" t="s">
        <v>134</v>
      </c>
      <c r="H8" s="74" t="s">
        <v>135</v>
      </c>
      <c r="I8" s="74" t="s">
        <v>18</v>
      </c>
      <c r="J8" s="123" t="s">
        <v>136</v>
      </c>
      <c r="K8" s="4"/>
      <c r="L8" s="4"/>
      <c r="N8" s="186" t="s">
        <v>281</v>
      </c>
    </row>
    <row r="9" spans="1:19" ht="12.75" customHeight="1">
      <c r="B9" s="509" t="s">
        <v>2</v>
      </c>
      <c r="C9" s="491" t="s">
        <v>15</v>
      </c>
      <c r="D9" s="494" t="s">
        <v>3</v>
      </c>
      <c r="E9" s="75"/>
      <c r="F9" s="495" t="s">
        <v>11</v>
      </c>
      <c r="G9" s="498" t="s">
        <v>10</v>
      </c>
      <c r="H9" s="499"/>
      <c r="I9" s="495" t="s">
        <v>190</v>
      </c>
      <c r="J9" s="506" t="s">
        <v>22</v>
      </c>
      <c r="N9" s="186" t="s">
        <v>282</v>
      </c>
    </row>
    <row r="10" spans="1:19" ht="12.75" customHeight="1">
      <c r="B10" s="509"/>
      <c r="C10" s="492"/>
      <c r="D10" s="494"/>
      <c r="E10" s="76"/>
      <c r="F10" s="496"/>
      <c r="G10" s="500"/>
      <c r="H10" s="501"/>
      <c r="I10" s="504"/>
      <c r="J10" s="507"/>
      <c r="N10" s="186" t="s">
        <v>283</v>
      </c>
    </row>
    <row r="11" spans="1:19">
      <c r="B11" s="509"/>
      <c r="C11" s="492"/>
      <c r="D11" s="494"/>
      <c r="E11" s="77" t="s">
        <v>19</v>
      </c>
      <c r="F11" s="496"/>
      <c r="G11" s="500"/>
      <c r="H11" s="501"/>
      <c r="I11" s="504"/>
      <c r="J11" s="507"/>
      <c r="N11" s="186" t="s">
        <v>284</v>
      </c>
    </row>
    <row r="12" spans="1:19" ht="27" customHeight="1">
      <c r="B12" s="509"/>
      <c r="C12" s="493"/>
      <c r="D12" s="494"/>
      <c r="E12" s="78"/>
      <c r="F12" s="497"/>
      <c r="G12" s="502"/>
      <c r="H12" s="503"/>
      <c r="I12" s="505"/>
      <c r="J12" s="508"/>
      <c r="N12" s="186" t="s">
        <v>285</v>
      </c>
    </row>
    <row r="13" spans="1:19" ht="27" hidden="1" customHeight="1">
      <c r="B13" s="211"/>
      <c r="C13" s="212"/>
      <c r="D13" s="213"/>
      <c r="E13" s="214"/>
      <c r="F13" s="215"/>
      <c r="G13" s="216"/>
      <c r="H13" s="217"/>
      <c r="I13" s="218"/>
      <c r="J13" s="219"/>
      <c r="N13" s="186" t="s">
        <v>286</v>
      </c>
    </row>
    <row r="14" spans="1:19" ht="27" hidden="1" customHeight="1">
      <c r="B14" s="211"/>
      <c r="C14" s="212"/>
      <c r="D14" s="213"/>
      <c r="E14" s="214"/>
      <c r="F14" s="215"/>
      <c r="G14" s="216"/>
      <c r="H14" s="217"/>
      <c r="I14" s="218"/>
      <c r="J14" s="219"/>
      <c r="N14" s="186" t="s">
        <v>287</v>
      </c>
    </row>
    <row r="15" spans="1:19" ht="27" hidden="1" customHeight="1">
      <c r="B15" s="211"/>
      <c r="C15" s="212"/>
      <c r="D15" s="213"/>
      <c r="E15" s="214"/>
      <c r="F15" s="215"/>
      <c r="G15" s="216"/>
      <c r="H15" s="217"/>
      <c r="I15" s="218"/>
      <c r="J15" s="219"/>
      <c r="N15" s="186" t="s">
        <v>288</v>
      </c>
    </row>
    <row r="16" spans="1:19" ht="27" hidden="1" customHeight="1">
      <c r="B16" s="211"/>
      <c r="C16" s="212"/>
      <c r="D16" s="213"/>
      <c r="E16" s="214"/>
      <c r="F16" s="215"/>
      <c r="G16" s="216"/>
      <c r="H16" s="217"/>
      <c r="I16" s="218"/>
      <c r="J16" s="219"/>
      <c r="N16" s="186" t="s">
        <v>289</v>
      </c>
    </row>
    <row r="17" spans="2:19" ht="27" hidden="1" customHeight="1">
      <c r="B17" s="211"/>
      <c r="C17" s="212"/>
      <c r="D17" s="213"/>
      <c r="E17" s="214"/>
      <c r="F17" s="215"/>
      <c r="G17" s="216"/>
      <c r="H17" s="217"/>
      <c r="I17" s="218"/>
      <c r="J17" s="219"/>
      <c r="N17" s="186" t="s">
        <v>290</v>
      </c>
    </row>
    <row r="18" spans="2:19" ht="27" hidden="1" customHeight="1">
      <c r="B18" s="211"/>
      <c r="C18" s="212"/>
      <c r="D18" s="213"/>
      <c r="E18" s="214"/>
      <c r="F18" s="215"/>
      <c r="G18" s="216"/>
      <c r="H18" s="217"/>
      <c r="I18" s="218"/>
      <c r="J18" s="219"/>
      <c r="N18" s="186" t="s">
        <v>291</v>
      </c>
    </row>
    <row r="19" spans="2:19" ht="27" hidden="1" customHeight="1">
      <c r="B19" s="211"/>
      <c r="C19" s="212"/>
      <c r="D19" s="213"/>
      <c r="E19" s="214"/>
      <c r="F19" s="215"/>
      <c r="G19" s="216"/>
      <c r="H19" s="217"/>
      <c r="I19" s="218"/>
      <c r="J19" s="219"/>
      <c r="N19" s="186" t="s">
        <v>292</v>
      </c>
      <c r="S19" s="1">
        <f>SUM(S20:S59)</f>
        <v>0</v>
      </c>
    </row>
    <row r="20" spans="2:19">
      <c r="B20" s="79">
        <v>1</v>
      </c>
      <c r="C20" s="80">
        <v>1</v>
      </c>
      <c r="D20" s="81" t="s">
        <v>295</v>
      </c>
      <c r="E20" s="82" t="str">
        <f t="shared" ref="E20:E59" si="0">IF(AND($H$1&lt;&gt;"",$J$1&lt;&gt;"",C20&lt;&gt;"",D20&lt;&gt;""),CONCATENATE($H$1,"-",$J$1,"-",TEXT(C20,"00")),"")</f>
        <v>137022-0501-01</v>
      </c>
      <c r="F20" s="83">
        <v>1</v>
      </c>
      <c r="G20" s="84" t="s">
        <v>325</v>
      </c>
      <c r="H20" s="85" t="s">
        <v>325</v>
      </c>
      <c r="I20" s="223">
        <v>4</v>
      </c>
      <c r="J20" s="224">
        <v>1</v>
      </c>
      <c r="K20" s="14"/>
      <c r="L20" s="14"/>
      <c r="M20" s="14"/>
      <c r="S20" s="1">
        <f t="shared" ref="S20:S59" si="1">IF(ISBLANK(C20),0,(IF(COUNTA($C20:$D20)+COUNTA($F20:$J20)&lt;&gt;7,1,0)))</f>
        <v>0</v>
      </c>
    </row>
    <row r="21" spans="2:19">
      <c r="B21" s="79">
        <v>2</v>
      </c>
      <c r="C21" s="80">
        <v>2</v>
      </c>
      <c r="D21" s="81" t="s">
        <v>296</v>
      </c>
      <c r="E21" s="82" t="str">
        <f t="shared" si="0"/>
        <v>137022-0501-02</v>
      </c>
      <c r="F21" s="83">
        <v>2</v>
      </c>
      <c r="G21" s="84" t="s">
        <v>211</v>
      </c>
      <c r="H21" s="85" t="s">
        <v>324</v>
      </c>
      <c r="I21" s="223">
        <v>5</v>
      </c>
      <c r="J21" s="224">
        <v>1</v>
      </c>
      <c r="K21" s="14"/>
      <c r="L21" s="14"/>
      <c r="M21" s="14"/>
      <c r="S21" s="1">
        <f t="shared" si="1"/>
        <v>0</v>
      </c>
    </row>
    <row r="22" spans="2:19">
      <c r="B22" s="79">
        <v>3</v>
      </c>
      <c r="C22" s="80">
        <v>3</v>
      </c>
      <c r="D22" s="81" t="s">
        <v>297</v>
      </c>
      <c r="E22" s="82" t="str">
        <f t="shared" si="0"/>
        <v>137022-0501-03</v>
      </c>
      <c r="F22" s="83">
        <v>1</v>
      </c>
      <c r="G22" s="84" t="s">
        <v>210</v>
      </c>
      <c r="H22" s="85" t="s">
        <v>324</v>
      </c>
      <c r="I22" s="223">
        <v>4</v>
      </c>
      <c r="J22" s="224">
        <v>1</v>
      </c>
      <c r="K22" s="14"/>
      <c r="L22" s="14"/>
      <c r="M22" s="14"/>
      <c r="S22" s="1">
        <f t="shared" si="1"/>
        <v>0</v>
      </c>
    </row>
    <row r="23" spans="2:19">
      <c r="B23" s="79">
        <v>4</v>
      </c>
      <c r="C23" s="80">
        <v>4</v>
      </c>
      <c r="D23" s="81" t="s">
        <v>298</v>
      </c>
      <c r="E23" s="82" t="str">
        <f t="shared" si="0"/>
        <v>137022-0501-04</v>
      </c>
      <c r="F23" s="83">
        <v>1</v>
      </c>
      <c r="G23" s="84" t="s">
        <v>211</v>
      </c>
      <c r="H23" s="85" t="s">
        <v>325</v>
      </c>
      <c r="I23" s="223">
        <v>3</v>
      </c>
      <c r="J23" s="224">
        <v>1</v>
      </c>
      <c r="K23" s="14"/>
      <c r="L23" s="14"/>
      <c r="M23" s="14"/>
      <c r="S23" s="1">
        <f t="shared" si="1"/>
        <v>0</v>
      </c>
    </row>
    <row r="24" spans="2:19">
      <c r="B24" s="79">
        <v>5</v>
      </c>
      <c r="C24" s="80">
        <v>5</v>
      </c>
      <c r="D24" s="81" t="s">
        <v>299</v>
      </c>
      <c r="E24" s="82" t="str">
        <f t="shared" si="0"/>
        <v>137022-0501-05</v>
      </c>
      <c r="F24" s="83">
        <v>2</v>
      </c>
      <c r="G24" s="84" t="s">
        <v>326</v>
      </c>
      <c r="H24" s="85" t="s">
        <v>325</v>
      </c>
      <c r="I24" s="223">
        <v>3</v>
      </c>
      <c r="J24" s="224">
        <v>2</v>
      </c>
      <c r="K24" s="14"/>
      <c r="L24" s="14"/>
      <c r="M24" s="14"/>
      <c r="S24" s="1">
        <f t="shared" si="1"/>
        <v>0</v>
      </c>
    </row>
    <row r="25" spans="2:19">
      <c r="B25" s="79">
        <v>6</v>
      </c>
      <c r="C25" s="80">
        <v>6</v>
      </c>
      <c r="D25" s="81" t="s">
        <v>300</v>
      </c>
      <c r="E25" s="82" t="str">
        <f t="shared" si="0"/>
        <v>137022-0501-06</v>
      </c>
      <c r="F25" s="83">
        <v>1</v>
      </c>
      <c r="G25" s="84" t="s">
        <v>327</v>
      </c>
      <c r="H25" s="85" t="s">
        <v>325</v>
      </c>
      <c r="I25" s="223">
        <v>5</v>
      </c>
      <c r="J25" s="224">
        <v>2</v>
      </c>
      <c r="K25" s="14"/>
      <c r="L25" s="14"/>
      <c r="M25" s="14"/>
      <c r="S25" s="1">
        <f t="shared" si="1"/>
        <v>0</v>
      </c>
    </row>
    <row r="26" spans="2:19">
      <c r="B26" s="79">
        <v>7</v>
      </c>
      <c r="C26" s="80">
        <v>7</v>
      </c>
      <c r="D26" s="81" t="s">
        <v>301</v>
      </c>
      <c r="E26" s="82" t="str">
        <f t="shared" si="0"/>
        <v>137022-0501-07</v>
      </c>
      <c r="F26" s="83">
        <v>2</v>
      </c>
      <c r="G26" s="84" t="s">
        <v>326</v>
      </c>
      <c r="H26" s="85" t="s">
        <v>325</v>
      </c>
      <c r="I26" s="223">
        <v>3</v>
      </c>
      <c r="J26" s="224">
        <v>2</v>
      </c>
      <c r="K26" s="14"/>
      <c r="L26" s="14"/>
      <c r="M26" s="14"/>
      <c r="S26" s="1">
        <f t="shared" si="1"/>
        <v>0</v>
      </c>
    </row>
    <row r="27" spans="2:19">
      <c r="B27" s="79">
        <v>8</v>
      </c>
      <c r="C27" s="80">
        <v>8</v>
      </c>
      <c r="D27" s="81" t="s">
        <v>302</v>
      </c>
      <c r="E27" s="82" t="str">
        <f t="shared" si="0"/>
        <v>137022-0501-08</v>
      </c>
      <c r="F27" s="83">
        <v>1</v>
      </c>
      <c r="G27" s="84" t="s">
        <v>328</v>
      </c>
      <c r="H27" s="85" t="s">
        <v>325</v>
      </c>
      <c r="I27" s="223">
        <v>5</v>
      </c>
      <c r="J27" s="224">
        <v>1</v>
      </c>
      <c r="K27" s="14"/>
      <c r="L27" s="14"/>
      <c r="M27" s="14"/>
      <c r="S27" s="1">
        <f t="shared" si="1"/>
        <v>0</v>
      </c>
    </row>
    <row r="28" spans="2:19">
      <c r="B28" s="79">
        <v>9</v>
      </c>
      <c r="C28" s="80">
        <v>9</v>
      </c>
      <c r="D28" s="81" t="s">
        <v>303</v>
      </c>
      <c r="E28" s="82" t="str">
        <f t="shared" si="0"/>
        <v>137022-0501-09</v>
      </c>
      <c r="F28" s="83">
        <v>2</v>
      </c>
      <c r="G28" s="84" t="s">
        <v>329</v>
      </c>
      <c r="H28" s="85" t="s">
        <v>325</v>
      </c>
      <c r="I28" s="223">
        <v>5</v>
      </c>
      <c r="J28" s="224">
        <v>2</v>
      </c>
      <c r="K28" s="14"/>
      <c r="L28" s="14"/>
      <c r="M28" s="14"/>
      <c r="S28" s="1">
        <f t="shared" si="1"/>
        <v>0</v>
      </c>
    </row>
    <row r="29" spans="2:19">
      <c r="B29" s="79">
        <v>10</v>
      </c>
      <c r="C29" s="80">
        <v>10</v>
      </c>
      <c r="D29" s="81" t="s">
        <v>304</v>
      </c>
      <c r="E29" s="82" t="str">
        <f t="shared" si="0"/>
        <v>137022-0501-10</v>
      </c>
      <c r="F29" s="83">
        <v>2</v>
      </c>
      <c r="G29" s="84" t="s">
        <v>329</v>
      </c>
      <c r="H29" s="85" t="s">
        <v>325</v>
      </c>
      <c r="I29" s="223">
        <v>4</v>
      </c>
      <c r="J29" s="224">
        <v>1</v>
      </c>
      <c r="K29" s="14"/>
      <c r="L29" s="14"/>
      <c r="M29" s="14"/>
      <c r="S29" s="1">
        <f t="shared" si="1"/>
        <v>0</v>
      </c>
    </row>
    <row r="30" spans="2:19">
      <c r="B30" s="79">
        <v>11</v>
      </c>
      <c r="C30" s="80">
        <v>11</v>
      </c>
      <c r="D30" s="81" t="s">
        <v>305</v>
      </c>
      <c r="E30" s="82" t="str">
        <f t="shared" si="0"/>
        <v>137022-0501-11</v>
      </c>
      <c r="F30" s="83">
        <v>1</v>
      </c>
      <c r="G30" s="84" t="s">
        <v>325</v>
      </c>
      <c r="H30" s="85" t="s">
        <v>325</v>
      </c>
      <c r="I30" s="223">
        <v>4</v>
      </c>
      <c r="J30" s="224">
        <v>2</v>
      </c>
      <c r="K30" s="14"/>
      <c r="L30" s="14"/>
      <c r="M30" s="14"/>
      <c r="S30" s="1">
        <f t="shared" si="1"/>
        <v>0</v>
      </c>
    </row>
    <row r="31" spans="2:19">
      <c r="B31" s="79">
        <v>12</v>
      </c>
      <c r="C31" s="80">
        <v>12</v>
      </c>
      <c r="D31" s="81" t="s">
        <v>306</v>
      </c>
      <c r="E31" s="82" t="str">
        <f t="shared" si="0"/>
        <v>137022-0501-12</v>
      </c>
      <c r="F31" s="83">
        <v>2</v>
      </c>
      <c r="G31" s="84" t="s">
        <v>210</v>
      </c>
      <c r="H31" s="85" t="s">
        <v>325</v>
      </c>
      <c r="I31" s="223">
        <v>5</v>
      </c>
      <c r="J31" s="224">
        <v>2</v>
      </c>
      <c r="K31" s="14"/>
      <c r="L31" s="14"/>
      <c r="M31" s="14"/>
      <c r="S31" s="1">
        <f t="shared" si="1"/>
        <v>0</v>
      </c>
    </row>
    <row r="32" spans="2:19">
      <c r="B32" s="79">
        <v>13</v>
      </c>
      <c r="C32" s="80">
        <v>13</v>
      </c>
      <c r="D32" s="81" t="s">
        <v>307</v>
      </c>
      <c r="E32" s="82" t="str">
        <f t="shared" si="0"/>
        <v>137022-0501-13</v>
      </c>
      <c r="F32" s="83">
        <v>1</v>
      </c>
      <c r="G32" s="84" t="s">
        <v>330</v>
      </c>
      <c r="H32" s="85" t="s">
        <v>325</v>
      </c>
      <c r="I32" s="223">
        <v>3</v>
      </c>
      <c r="J32" s="224">
        <v>2</v>
      </c>
      <c r="K32" s="14"/>
      <c r="L32" s="14"/>
      <c r="M32" s="14"/>
      <c r="S32" s="1">
        <f t="shared" si="1"/>
        <v>0</v>
      </c>
    </row>
    <row r="33" spans="2:19">
      <c r="B33" s="79">
        <v>14</v>
      </c>
      <c r="C33" s="80">
        <v>14</v>
      </c>
      <c r="D33" s="81" t="s">
        <v>308</v>
      </c>
      <c r="E33" s="82" t="str">
        <f t="shared" si="0"/>
        <v>137022-0501-14</v>
      </c>
      <c r="F33" s="83">
        <v>1</v>
      </c>
      <c r="G33" s="84" t="s">
        <v>329</v>
      </c>
      <c r="H33" s="85" t="s">
        <v>325</v>
      </c>
      <c r="I33" s="223">
        <v>3</v>
      </c>
      <c r="J33" s="224">
        <v>2</v>
      </c>
      <c r="K33" s="14"/>
      <c r="L33" s="14"/>
      <c r="M33" s="14"/>
      <c r="S33" s="1">
        <f t="shared" si="1"/>
        <v>0</v>
      </c>
    </row>
    <row r="34" spans="2:19">
      <c r="B34" s="79">
        <v>15</v>
      </c>
      <c r="C34" s="80">
        <v>15</v>
      </c>
      <c r="D34" s="81" t="s">
        <v>309</v>
      </c>
      <c r="E34" s="82" t="str">
        <f t="shared" si="0"/>
        <v>137022-0501-15</v>
      </c>
      <c r="F34" s="83">
        <v>1</v>
      </c>
      <c r="G34" s="84" t="s">
        <v>330</v>
      </c>
      <c r="H34" s="85" t="s">
        <v>331</v>
      </c>
      <c r="I34" s="223">
        <v>5</v>
      </c>
      <c r="J34" s="224">
        <v>2</v>
      </c>
      <c r="K34" s="14"/>
      <c r="L34" s="14"/>
      <c r="M34" s="14"/>
      <c r="S34" s="1">
        <f t="shared" si="1"/>
        <v>0</v>
      </c>
    </row>
    <row r="35" spans="2:19">
      <c r="B35" s="79">
        <v>16</v>
      </c>
      <c r="C35" s="80">
        <v>16</v>
      </c>
      <c r="D35" s="81" t="s">
        <v>310</v>
      </c>
      <c r="E35" s="82" t="str">
        <f t="shared" si="0"/>
        <v>137022-0501-16</v>
      </c>
      <c r="F35" s="83">
        <v>2</v>
      </c>
      <c r="G35" s="84" t="s">
        <v>325</v>
      </c>
      <c r="H35" s="85" t="s">
        <v>325</v>
      </c>
      <c r="I35" s="223">
        <v>3</v>
      </c>
      <c r="J35" s="224">
        <v>2</v>
      </c>
      <c r="K35" s="14"/>
      <c r="L35" s="14"/>
      <c r="M35" s="14"/>
      <c r="S35" s="1">
        <f t="shared" si="1"/>
        <v>0</v>
      </c>
    </row>
    <row r="36" spans="2:19">
      <c r="B36" s="79">
        <v>17</v>
      </c>
      <c r="C36" s="80">
        <v>17</v>
      </c>
      <c r="D36" s="81" t="s">
        <v>311</v>
      </c>
      <c r="E36" s="82" t="str">
        <f t="shared" si="0"/>
        <v>137022-0501-17</v>
      </c>
      <c r="F36" s="83">
        <v>1</v>
      </c>
      <c r="G36" s="84" t="s">
        <v>211</v>
      </c>
      <c r="H36" s="85" t="s">
        <v>325</v>
      </c>
      <c r="I36" s="223">
        <v>5</v>
      </c>
      <c r="J36" s="224">
        <v>1</v>
      </c>
      <c r="K36" s="14"/>
      <c r="L36" s="14"/>
      <c r="M36" s="14"/>
      <c r="S36" s="1">
        <f t="shared" si="1"/>
        <v>0</v>
      </c>
    </row>
    <row r="37" spans="2:19">
      <c r="B37" s="79">
        <v>18</v>
      </c>
      <c r="C37" s="80">
        <v>18</v>
      </c>
      <c r="D37" s="81" t="s">
        <v>312</v>
      </c>
      <c r="E37" s="82" t="str">
        <f t="shared" si="0"/>
        <v>137022-0501-18</v>
      </c>
      <c r="F37" s="83">
        <v>1</v>
      </c>
      <c r="G37" s="84" t="s">
        <v>327</v>
      </c>
      <c r="H37" s="85" t="s">
        <v>325</v>
      </c>
      <c r="I37" s="223">
        <v>3</v>
      </c>
      <c r="J37" s="224">
        <v>1</v>
      </c>
      <c r="K37" s="14"/>
      <c r="L37" s="14"/>
      <c r="M37" s="14"/>
      <c r="S37" s="1">
        <f t="shared" si="1"/>
        <v>0</v>
      </c>
    </row>
    <row r="38" spans="2:19">
      <c r="B38" s="79">
        <v>19</v>
      </c>
      <c r="C38" s="80">
        <v>19</v>
      </c>
      <c r="D38" s="81" t="s">
        <v>313</v>
      </c>
      <c r="E38" s="82" t="str">
        <f t="shared" si="0"/>
        <v>137022-0501-19</v>
      </c>
      <c r="F38" s="83">
        <v>1</v>
      </c>
      <c r="G38" s="84" t="s">
        <v>330</v>
      </c>
      <c r="H38" s="85" t="s">
        <v>325</v>
      </c>
      <c r="I38" s="223">
        <v>4</v>
      </c>
      <c r="J38" s="224">
        <v>1</v>
      </c>
      <c r="K38" s="14"/>
      <c r="L38" s="14"/>
      <c r="M38" s="14"/>
      <c r="S38" s="1">
        <f t="shared" si="1"/>
        <v>0</v>
      </c>
    </row>
    <row r="39" spans="2:19">
      <c r="B39" s="79">
        <v>20</v>
      </c>
      <c r="C39" s="80">
        <v>20</v>
      </c>
      <c r="D39" s="81" t="s">
        <v>314</v>
      </c>
      <c r="E39" s="82" t="str">
        <f t="shared" si="0"/>
        <v>137022-0501-20</v>
      </c>
      <c r="F39" s="83">
        <v>2</v>
      </c>
      <c r="G39" s="84" t="s">
        <v>329</v>
      </c>
      <c r="H39" s="85" t="s">
        <v>325</v>
      </c>
      <c r="I39" s="223">
        <v>4</v>
      </c>
      <c r="J39" s="224">
        <v>2</v>
      </c>
      <c r="K39" s="14"/>
      <c r="L39" s="14"/>
      <c r="M39" s="14"/>
      <c r="S39" s="1">
        <f t="shared" si="1"/>
        <v>0</v>
      </c>
    </row>
    <row r="40" spans="2:19">
      <c r="B40" s="79">
        <v>21</v>
      </c>
      <c r="C40" s="80">
        <v>21</v>
      </c>
      <c r="D40" s="81" t="s">
        <v>315</v>
      </c>
      <c r="E40" s="82" t="str">
        <f t="shared" si="0"/>
        <v>137022-0501-21</v>
      </c>
      <c r="F40" s="83">
        <v>2</v>
      </c>
      <c r="G40" s="84" t="s">
        <v>328</v>
      </c>
      <c r="H40" s="85" t="s">
        <v>325</v>
      </c>
      <c r="I40" s="223">
        <v>5</v>
      </c>
      <c r="J40" s="224">
        <v>2</v>
      </c>
      <c r="K40" s="14"/>
      <c r="L40" s="14"/>
      <c r="M40" s="14"/>
      <c r="S40" s="1">
        <f t="shared" si="1"/>
        <v>0</v>
      </c>
    </row>
    <row r="41" spans="2:19">
      <c r="B41" s="79">
        <v>22</v>
      </c>
      <c r="C41" s="80">
        <v>22</v>
      </c>
      <c r="D41" s="81" t="s">
        <v>316</v>
      </c>
      <c r="E41" s="82" t="str">
        <f t="shared" si="0"/>
        <v>137022-0501-22</v>
      </c>
      <c r="F41" s="83">
        <v>2</v>
      </c>
      <c r="G41" s="84" t="s">
        <v>327</v>
      </c>
      <c r="H41" s="85" t="s">
        <v>325</v>
      </c>
      <c r="I41" s="223">
        <v>5</v>
      </c>
      <c r="J41" s="224">
        <v>1</v>
      </c>
      <c r="K41" s="14"/>
      <c r="L41" s="14"/>
      <c r="M41" s="14"/>
      <c r="S41" s="1">
        <f t="shared" si="1"/>
        <v>0</v>
      </c>
    </row>
    <row r="42" spans="2:19">
      <c r="B42" s="79">
        <v>23</v>
      </c>
      <c r="C42" s="86">
        <v>23</v>
      </c>
      <c r="D42" s="81" t="s">
        <v>317</v>
      </c>
      <c r="E42" s="82" t="str">
        <f t="shared" si="0"/>
        <v>137022-0501-23</v>
      </c>
      <c r="F42" s="83">
        <v>1</v>
      </c>
      <c r="G42" s="84" t="s">
        <v>330</v>
      </c>
      <c r="H42" s="85" t="s">
        <v>325</v>
      </c>
      <c r="I42" s="223">
        <v>3</v>
      </c>
      <c r="J42" s="224">
        <v>1</v>
      </c>
      <c r="K42" s="14"/>
      <c r="L42" s="14"/>
      <c r="M42" s="14"/>
      <c r="S42" s="1">
        <f t="shared" si="1"/>
        <v>0</v>
      </c>
    </row>
    <row r="43" spans="2:19">
      <c r="B43" s="79">
        <v>24</v>
      </c>
      <c r="C43" s="86">
        <v>24</v>
      </c>
      <c r="D43" s="81" t="s">
        <v>318</v>
      </c>
      <c r="E43" s="82" t="str">
        <f t="shared" si="0"/>
        <v>137022-0501-24</v>
      </c>
      <c r="F43" s="83">
        <v>2</v>
      </c>
      <c r="G43" s="84" t="s">
        <v>325</v>
      </c>
      <c r="H43" s="85" t="s">
        <v>332</v>
      </c>
      <c r="I43" s="223">
        <v>5</v>
      </c>
      <c r="J43" s="224">
        <v>1</v>
      </c>
      <c r="K43" s="14"/>
      <c r="L43" s="14"/>
      <c r="M43" s="14"/>
      <c r="S43" s="1">
        <f t="shared" si="1"/>
        <v>0</v>
      </c>
    </row>
    <row r="44" spans="2:19">
      <c r="B44" s="79">
        <v>25</v>
      </c>
      <c r="C44" s="86">
        <v>25</v>
      </c>
      <c r="D44" s="81" t="s">
        <v>319</v>
      </c>
      <c r="E44" s="82" t="str">
        <f t="shared" si="0"/>
        <v>137022-0501-25</v>
      </c>
      <c r="F44" s="83">
        <v>2</v>
      </c>
      <c r="G44" s="84" t="s">
        <v>324</v>
      </c>
      <c r="H44" s="85" t="s">
        <v>332</v>
      </c>
      <c r="I44" s="223">
        <v>5</v>
      </c>
      <c r="J44" s="224">
        <v>1</v>
      </c>
      <c r="K44" s="14"/>
      <c r="L44" s="14"/>
      <c r="M44" s="14"/>
      <c r="S44" s="1">
        <f t="shared" si="1"/>
        <v>0</v>
      </c>
    </row>
    <row r="45" spans="2:19">
      <c r="B45" s="79">
        <v>26</v>
      </c>
      <c r="C45" s="86">
        <v>26</v>
      </c>
      <c r="D45" s="81" t="s">
        <v>320</v>
      </c>
      <c r="E45" s="82" t="str">
        <f t="shared" si="0"/>
        <v>137022-0501-26</v>
      </c>
      <c r="F45" s="83">
        <v>2</v>
      </c>
      <c r="G45" s="84" t="s">
        <v>325</v>
      </c>
      <c r="H45" s="85" t="s">
        <v>324</v>
      </c>
      <c r="I45" s="223">
        <v>5</v>
      </c>
      <c r="J45" s="224">
        <v>2</v>
      </c>
      <c r="K45" s="14"/>
      <c r="L45" s="14"/>
      <c r="M45" s="14"/>
      <c r="S45" s="1">
        <f t="shared" si="1"/>
        <v>0</v>
      </c>
    </row>
    <row r="46" spans="2:19">
      <c r="B46" s="79">
        <v>27</v>
      </c>
      <c r="C46" s="86">
        <v>27</v>
      </c>
      <c r="D46" s="81" t="s">
        <v>321</v>
      </c>
      <c r="E46" s="82" t="str">
        <f t="shared" si="0"/>
        <v>137022-0501-27</v>
      </c>
      <c r="F46" s="83">
        <v>1</v>
      </c>
      <c r="G46" s="84" t="s">
        <v>332</v>
      </c>
      <c r="H46" s="85" t="s">
        <v>324</v>
      </c>
      <c r="I46" s="223">
        <v>4</v>
      </c>
      <c r="J46" s="224">
        <v>1</v>
      </c>
      <c r="K46" s="14"/>
      <c r="L46" s="14"/>
      <c r="M46" s="14"/>
      <c r="S46" s="1">
        <f t="shared" si="1"/>
        <v>0</v>
      </c>
    </row>
    <row r="47" spans="2:19">
      <c r="B47" s="79">
        <v>28</v>
      </c>
      <c r="C47" s="86">
        <v>28</v>
      </c>
      <c r="D47" s="81" t="s">
        <v>322</v>
      </c>
      <c r="E47" s="82" t="str">
        <f t="shared" si="0"/>
        <v>137022-0501-28</v>
      </c>
      <c r="F47" s="83">
        <v>2</v>
      </c>
      <c r="G47" s="84" t="s">
        <v>327</v>
      </c>
      <c r="H47" s="85" t="s">
        <v>325</v>
      </c>
      <c r="I47" s="223">
        <v>5</v>
      </c>
      <c r="J47" s="224">
        <v>2</v>
      </c>
      <c r="K47" s="14"/>
      <c r="L47" s="14"/>
      <c r="M47" s="14"/>
      <c r="S47" s="1">
        <f t="shared" si="1"/>
        <v>0</v>
      </c>
    </row>
    <row r="48" spans="2:19">
      <c r="B48" s="79">
        <v>29</v>
      </c>
      <c r="C48" s="86">
        <v>29</v>
      </c>
      <c r="D48" s="81" t="s">
        <v>323</v>
      </c>
      <c r="E48" s="82" t="str">
        <f t="shared" si="0"/>
        <v>137022-0501-29</v>
      </c>
      <c r="F48" s="83">
        <v>2</v>
      </c>
      <c r="G48" s="84" t="s">
        <v>327</v>
      </c>
      <c r="H48" s="85" t="s">
        <v>325</v>
      </c>
      <c r="I48" s="223">
        <v>4</v>
      </c>
      <c r="J48" s="224">
        <v>1</v>
      </c>
      <c r="K48" s="14"/>
      <c r="L48" s="14"/>
      <c r="M48" s="14"/>
      <c r="S48" s="1">
        <f t="shared" si="1"/>
        <v>0</v>
      </c>
    </row>
    <row r="49" spans="2:19">
      <c r="B49" s="79">
        <v>30</v>
      </c>
      <c r="C49" s="86"/>
      <c r="D49" s="81"/>
      <c r="E49" s="82" t="str">
        <f t="shared" si="0"/>
        <v/>
      </c>
      <c r="F49" s="83"/>
      <c r="G49" s="84"/>
      <c r="H49" s="85"/>
      <c r="I49" s="223"/>
      <c r="J49" s="224"/>
      <c r="K49" s="14"/>
      <c r="L49" s="14"/>
      <c r="M49" s="14"/>
      <c r="S49" s="1">
        <f t="shared" si="1"/>
        <v>0</v>
      </c>
    </row>
    <row r="50" spans="2:19">
      <c r="B50" s="79">
        <v>31</v>
      </c>
      <c r="C50" s="86"/>
      <c r="D50" s="81"/>
      <c r="E50" s="82" t="str">
        <f t="shared" si="0"/>
        <v/>
      </c>
      <c r="F50" s="83"/>
      <c r="G50" s="84"/>
      <c r="H50" s="85"/>
      <c r="I50" s="223"/>
      <c r="J50" s="224"/>
      <c r="K50" s="14"/>
      <c r="L50" s="14"/>
      <c r="M50" s="14"/>
      <c r="S50" s="1">
        <f t="shared" si="1"/>
        <v>0</v>
      </c>
    </row>
    <row r="51" spans="2:19">
      <c r="B51" s="79">
        <v>32</v>
      </c>
      <c r="C51" s="86"/>
      <c r="D51" s="81"/>
      <c r="E51" s="82" t="str">
        <f t="shared" si="0"/>
        <v/>
      </c>
      <c r="F51" s="83"/>
      <c r="G51" s="84"/>
      <c r="H51" s="85"/>
      <c r="I51" s="223"/>
      <c r="J51" s="224"/>
      <c r="K51" s="14"/>
      <c r="L51" s="14"/>
      <c r="M51" s="14"/>
      <c r="S51" s="1">
        <f t="shared" si="1"/>
        <v>0</v>
      </c>
    </row>
    <row r="52" spans="2:19">
      <c r="B52" s="79">
        <v>33</v>
      </c>
      <c r="C52" s="86"/>
      <c r="D52" s="81"/>
      <c r="E52" s="82" t="str">
        <f t="shared" si="0"/>
        <v/>
      </c>
      <c r="F52" s="83"/>
      <c r="G52" s="84"/>
      <c r="H52" s="85"/>
      <c r="I52" s="223"/>
      <c r="J52" s="224"/>
      <c r="K52" s="14"/>
      <c r="L52" s="14"/>
      <c r="M52" s="14"/>
      <c r="S52" s="1">
        <f t="shared" si="1"/>
        <v>0</v>
      </c>
    </row>
    <row r="53" spans="2:19">
      <c r="B53" s="79">
        <v>34</v>
      </c>
      <c r="C53" s="86"/>
      <c r="D53" s="81"/>
      <c r="E53" s="82" t="str">
        <f t="shared" si="0"/>
        <v/>
      </c>
      <c r="F53" s="83"/>
      <c r="G53" s="84"/>
      <c r="H53" s="85"/>
      <c r="I53" s="223"/>
      <c r="J53" s="224"/>
      <c r="K53" s="14"/>
      <c r="L53" s="14"/>
      <c r="M53" s="14"/>
      <c r="S53" s="1">
        <f t="shared" si="1"/>
        <v>0</v>
      </c>
    </row>
    <row r="54" spans="2:19">
      <c r="B54" s="79">
        <v>35</v>
      </c>
      <c r="C54" s="86"/>
      <c r="D54" s="81"/>
      <c r="E54" s="82" t="str">
        <f t="shared" si="0"/>
        <v/>
      </c>
      <c r="F54" s="83"/>
      <c r="G54" s="84"/>
      <c r="H54" s="85"/>
      <c r="I54" s="223"/>
      <c r="J54" s="224"/>
      <c r="K54" s="14"/>
      <c r="L54" s="14"/>
      <c r="M54" s="14"/>
      <c r="S54" s="1">
        <f t="shared" si="1"/>
        <v>0</v>
      </c>
    </row>
    <row r="55" spans="2:19">
      <c r="B55" s="79">
        <v>36</v>
      </c>
      <c r="C55" s="86"/>
      <c r="D55" s="81"/>
      <c r="E55" s="82" t="str">
        <f t="shared" si="0"/>
        <v/>
      </c>
      <c r="F55" s="83"/>
      <c r="G55" s="84"/>
      <c r="H55" s="85"/>
      <c r="I55" s="223"/>
      <c r="J55" s="224"/>
      <c r="K55" s="14"/>
      <c r="L55" s="14"/>
      <c r="M55" s="14"/>
      <c r="S55" s="1">
        <f t="shared" si="1"/>
        <v>0</v>
      </c>
    </row>
    <row r="56" spans="2:19">
      <c r="B56" s="79">
        <v>37</v>
      </c>
      <c r="C56" s="86"/>
      <c r="D56" s="81"/>
      <c r="E56" s="82" t="str">
        <f t="shared" si="0"/>
        <v/>
      </c>
      <c r="F56" s="83"/>
      <c r="G56" s="84"/>
      <c r="H56" s="85"/>
      <c r="I56" s="223"/>
      <c r="J56" s="224"/>
      <c r="K56" s="14"/>
      <c r="L56" s="14"/>
      <c r="M56" s="14"/>
      <c r="S56" s="1">
        <f t="shared" si="1"/>
        <v>0</v>
      </c>
    </row>
    <row r="57" spans="2:19">
      <c r="B57" s="79">
        <v>38</v>
      </c>
      <c r="C57" s="86"/>
      <c r="D57" s="81"/>
      <c r="E57" s="82" t="str">
        <f t="shared" si="0"/>
        <v/>
      </c>
      <c r="F57" s="83"/>
      <c r="G57" s="84"/>
      <c r="H57" s="85"/>
      <c r="I57" s="223"/>
      <c r="J57" s="224"/>
      <c r="K57" s="14"/>
      <c r="L57" s="14"/>
      <c r="M57" s="14"/>
      <c r="S57" s="1">
        <f t="shared" si="1"/>
        <v>0</v>
      </c>
    </row>
    <row r="58" spans="2:19">
      <c r="B58" s="79">
        <v>39</v>
      </c>
      <c r="C58" s="86"/>
      <c r="D58" s="81"/>
      <c r="E58" s="82" t="str">
        <f t="shared" si="0"/>
        <v/>
      </c>
      <c r="F58" s="83"/>
      <c r="G58" s="84"/>
      <c r="H58" s="85"/>
      <c r="I58" s="223"/>
      <c r="J58" s="224"/>
      <c r="K58" s="14"/>
      <c r="L58" s="14"/>
      <c r="M58" s="14"/>
      <c r="S58" s="1">
        <f t="shared" si="1"/>
        <v>0</v>
      </c>
    </row>
    <row r="59" spans="2:19">
      <c r="B59" s="79">
        <v>40</v>
      </c>
      <c r="C59" s="86"/>
      <c r="D59" s="81"/>
      <c r="E59" s="82" t="str">
        <f t="shared" si="0"/>
        <v/>
      </c>
      <c r="F59" s="83"/>
      <c r="G59" s="84"/>
      <c r="H59" s="85"/>
      <c r="I59" s="223"/>
      <c r="J59" s="224"/>
      <c r="K59" s="14"/>
      <c r="L59" s="14"/>
      <c r="M59" s="14"/>
      <c r="S59" s="1">
        <f t="shared" si="1"/>
        <v>0</v>
      </c>
    </row>
    <row r="60" spans="2:19">
      <c r="N60" s="5"/>
    </row>
    <row r="61" spans="2:19" ht="15.75">
      <c r="B61" s="9"/>
      <c r="N61" s="5"/>
    </row>
    <row r="62" spans="2:19">
      <c r="N62" s="5"/>
    </row>
    <row r="63" spans="2:19">
      <c r="N63" s="5"/>
    </row>
    <row r="64" spans="2:19">
      <c r="N64" s="5"/>
    </row>
    <row r="65" spans="14:14">
      <c r="N65" s="5"/>
    </row>
    <row r="66" spans="14:14">
      <c r="N66" s="5"/>
    </row>
    <row r="67" spans="14:14">
      <c r="N67" s="5"/>
    </row>
    <row r="68" spans="14:14">
      <c r="N68" s="5"/>
    </row>
    <row r="69" spans="14:14">
      <c r="N69" s="5"/>
    </row>
    <row r="70" spans="14:14">
      <c r="N70" s="5"/>
    </row>
    <row r="71" spans="14:14">
      <c r="N71" s="5"/>
    </row>
    <row r="72" spans="14:14">
      <c r="N72" s="5"/>
    </row>
    <row r="73" spans="14:14">
      <c r="N73" s="5"/>
    </row>
    <row r="74" spans="14:14">
      <c r="N74" s="5"/>
    </row>
    <row r="75" spans="14:14">
      <c r="N75" s="5"/>
    </row>
    <row r="76" spans="14:14">
      <c r="N76" s="5"/>
    </row>
    <row r="77" spans="14:14">
      <c r="N77" s="5"/>
    </row>
    <row r="78" spans="14:14">
      <c r="N78" s="5"/>
    </row>
    <row r="79" spans="14:14">
      <c r="N79" s="5"/>
    </row>
    <row r="80" spans="14:14">
      <c r="N80" s="5"/>
    </row>
    <row r="81" spans="14:14">
      <c r="N81" s="5"/>
    </row>
    <row r="82" spans="14:14">
      <c r="N82" s="5"/>
    </row>
    <row r="83" spans="14:14">
      <c r="N83" s="5"/>
    </row>
    <row r="84" spans="14:14">
      <c r="N84" s="5"/>
    </row>
    <row r="85" spans="14:14">
      <c r="N85" s="5"/>
    </row>
    <row r="86" spans="14:14">
      <c r="N86" s="5"/>
    </row>
    <row r="87" spans="14:14">
      <c r="N87" s="5"/>
    </row>
    <row r="88" spans="14:14">
      <c r="N88" s="5"/>
    </row>
    <row r="89" spans="14:14">
      <c r="N89" s="5"/>
    </row>
    <row r="90" spans="14:14">
      <c r="N90" s="5"/>
    </row>
    <row r="91" spans="14:14">
      <c r="N91" s="5"/>
    </row>
    <row r="92" spans="14:14">
      <c r="N92" s="5"/>
    </row>
    <row r="93" spans="14:14">
      <c r="N93" s="5"/>
    </row>
    <row r="94" spans="14:14">
      <c r="N94" s="5"/>
    </row>
    <row r="95" spans="14:14">
      <c r="N95" s="5"/>
    </row>
    <row r="96" spans="14:14">
      <c r="N96" s="5"/>
    </row>
    <row r="97" spans="14:14">
      <c r="N97" s="5"/>
    </row>
    <row r="98" spans="14:14">
      <c r="N98" s="5"/>
    </row>
    <row r="99" spans="14:14">
      <c r="N99" s="5"/>
    </row>
    <row r="100" spans="14:14">
      <c r="N100" s="5"/>
    </row>
    <row r="101" spans="14:14">
      <c r="N101" s="5"/>
    </row>
    <row r="102" spans="14:14">
      <c r="N102" s="5"/>
    </row>
    <row r="103" spans="14:14">
      <c r="N103" s="5"/>
    </row>
    <row r="104" spans="14:14">
      <c r="N104" s="5"/>
    </row>
    <row r="105" spans="14:14">
      <c r="N105" s="5"/>
    </row>
    <row r="106" spans="14:14">
      <c r="N106" s="5"/>
    </row>
    <row r="107" spans="14:14">
      <c r="N107" s="5"/>
    </row>
    <row r="108" spans="14:14">
      <c r="N108" s="5"/>
    </row>
    <row r="109" spans="14:14">
      <c r="N109" s="5"/>
    </row>
    <row r="110" spans="14:14">
      <c r="N110" s="5"/>
    </row>
    <row r="111" spans="14:14">
      <c r="N111" s="5"/>
    </row>
    <row r="112" spans="14:14">
      <c r="N112" s="5"/>
    </row>
    <row r="113" spans="14:14">
      <c r="N113" s="5"/>
    </row>
    <row r="114" spans="14:14">
      <c r="N114" s="5"/>
    </row>
  </sheetData>
  <sheetProtection selectLockedCells="1" selectUnlockedCells="1"/>
  <protectedRanges>
    <protectedRange sqref="H1 J1 E3:E4 C20:D59 F20:J59" name="Диапазон1"/>
  </protectedRanges>
  <customSheetViews>
    <customSheetView guid="{BFE542F4-8A0C-4C42-A5CA-C7B0ACF2717E}" scale="110" hiddenRows="1" hiddenColumns="1">
      <selection activeCell="AA6" sqref="AA6"/>
      <pageMargins left="0.42708333333333331" right="0.23958333333333334" top="0.84375" bottom="0.98425196850393704" header="0.51181102362204722" footer="0.51181102362204722"/>
      <pageSetup paperSize="9" scale="75" fitToWidth="0" fitToHeight="0" orientation="portrait" r:id="rId1"/>
      <headerFooter alignWithMargins="0">
        <oddHeader>&amp;CКГБУ "Региональный центр оценки качества образования"</oddHeader>
      </headerFooter>
    </customSheetView>
  </customSheetViews>
  <mergeCells count="11">
    <mergeCell ref="B4:D4"/>
    <mergeCell ref="B7:J7"/>
    <mergeCell ref="B3:D3"/>
    <mergeCell ref="E3:J3"/>
    <mergeCell ref="C9:C12"/>
    <mergeCell ref="D9:D12"/>
    <mergeCell ref="F9:F12"/>
    <mergeCell ref="G9:H12"/>
    <mergeCell ref="I9:I12"/>
    <mergeCell ref="J9:J12"/>
    <mergeCell ref="B9:B12"/>
  </mergeCells>
  <phoneticPr fontId="0" type="noConversion"/>
  <conditionalFormatting sqref="H1 J1 E3:J3 E4">
    <cfRule type="expression" dxfId="10" priority="7" stopIfTrue="1">
      <formula>ISBLANK(E1)</formula>
    </cfRule>
  </conditionalFormatting>
  <conditionalFormatting sqref="C20:D59 F20:J59">
    <cfRule type="expression" dxfId="9" priority="9" stopIfTrue="1">
      <formula>AND(OR(COUNTA($C20:$D20)&lt;&gt;0,COUNTA($F20:$K20)&lt;&gt;0),ISBLANK(C20))</formula>
    </cfRule>
  </conditionalFormatting>
  <conditionalFormatting sqref="B20:B59">
    <cfRule type="expression" dxfId="8" priority="1" stopIfTrue="1">
      <formula>C20&lt;&gt;""</formula>
    </cfRule>
    <cfRule type="expression" dxfId="7" priority="2" stopIfTrue="1">
      <formula>B20&lt;=$E$4</formula>
    </cfRule>
  </conditionalFormatting>
  <dataValidations xWindow="749" yWindow="918" count="13">
    <dataValidation type="whole" allowBlank="1" showInputMessage="1" showErrorMessage="1" promptTitle="Пол" prompt="1-Ж_x000a_2-М" sqref="F20:F59">
      <formula1>1</formula1>
      <formula2>2</formula2>
    </dataValidation>
    <dataValidation type="list" allowBlank="1" showInputMessage="1" showErrorMessage="1" promptTitle="Месяц рождения" prompt="Выберите месяц из списка" sqref="G20:G59">
      <formula1>"01,02,03,04,05,06,07,08,09,10,11,12"</formula1>
    </dataValidation>
    <dataValidation allowBlank="1" showInputMessage="1" showErrorMessage="1" promptTitle="Фамилия, Имя учащегося" prompt=" " sqref="D20:D59"/>
    <dataValidation allowBlank="1" showErrorMessage="1" promptTitle="Код региона" prompt=" " sqref="F1"/>
    <dataValidation type="textLength" allowBlank="1" showInputMessage="1" showErrorMessage="1" promptTitle="Код школы" prompt=" " sqref="H1">
      <formula1>0</formula1>
      <formula2>6</formula2>
    </dataValidation>
    <dataValidation type="whole" allowBlank="1" showInputMessage="1" showErrorMessage="1" promptTitle="Анкета учителя" prompt="1 - анкета для учителя заполнена_x000a_0 - анкета для учителя не заполнена" sqref="F6">
      <formula1>0</formula1>
      <formula2>1</formula2>
    </dataValidation>
    <dataValidation type="whole" allowBlank="1" showInputMessage="1" showErrorMessage="1" promptTitle="Номер по журналу" prompt=" " sqref="C20:C59">
      <formula1>1</formula1>
      <formula2>99</formula2>
    </dataValidation>
    <dataValidation allowBlank="1" showInputMessage="1" showErrorMessage="1" promptTitle="Код учащегося" prompt="Данное поле заполняется автоматически" sqref="E20:E59"/>
    <dataValidation type="whole" allowBlank="1" showInputMessage="1" showErrorMessage="1" promptTitle="Выполнение работы" prompt="Введите номер варианта, если учащийся выполнял работу (1 - 2)._x000a_Введите 0, если учащийся не выполнял работу (не принимал участия)_x000a_" sqref="J20:J59">
      <formula1>0</formula1>
      <formula2>2</formula2>
    </dataValidation>
    <dataValidation type="list" allowBlank="1" showDropDown="1" showInputMessage="1" showErrorMessage="1" errorTitle="Неправильное заполнение поля" error="Значением поля является оценка или &quot;0&quot;, если ученик не аттестован." promptTitle="Отметка по физике" prompt="Укажите итоговую оценку по физике за курс основной школы" sqref="I45:I59">
      <formula1>"2,3,4,5"</formula1>
    </dataValidation>
    <dataValidation type="list" allowBlank="1" showDropDown="1" showInputMessage="1" showErrorMessage="1" promptTitle="Код класса" prompt=" " sqref="J1">
      <formula1>$N$8:$N$18</formula1>
    </dataValidation>
    <dataValidation type="list" allowBlank="1" showDropDown="1" showInputMessage="1" showErrorMessage="1" errorTitle="Неправильное заполнение поля" error="Значением поля является оценка или &quot;0&quot;, если ученик не аттестован." promptTitle="Отметка по английскому языку" prompt="Укажите итоговую оценку по английскому языку за 4 класс" sqref="I20:I44">
      <formula1>"2,3,4,5"</formula1>
    </dataValidation>
    <dataValidation type="list" allowBlank="1" showInputMessage="1" showErrorMessage="1" promptTitle="Год рождения" prompt="Выберите год рождения из списка" sqref="H20:H59">
      <formula1>"95,96,97,98,99,00,01,02,03,04,05"</formula1>
    </dataValidation>
  </dataValidations>
  <pageMargins left="0.42708333333333331" right="0.23958333333333334" top="0.84375" bottom="0.98425196850393704" header="0.51181102362204722" footer="0.51181102362204722"/>
  <pageSetup paperSize="9" scale="75" fitToWidth="0" fitToHeight="0" orientation="portrait" r:id="rId2"/>
  <headerFooter alignWithMargins="0">
    <oddHeader>&amp;CКГБУ "Региональный центр оценки качества образования"</oddHeader>
  </headerFooter>
  <ignoredErrors>
    <ignoredError sqref="G51:G59 I51:I59" numberStoredAsText="1"/>
  </ignoredErrors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2:M2"/>
  <sheetViews>
    <sheetView view="pageLayout" workbookViewId="0">
      <selection activeCell="N34" sqref="N34"/>
    </sheetView>
  </sheetViews>
  <sheetFormatPr defaultRowHeight="12.75"/>
  <sheetData>
    <row r="2" spans="1:13" ht="42.75">
      <c r="A2" s="275" t="s">
        <v>87</v>
      </c>
      <c r="B2" s="606" t="str">
        <f>'Ответы учащихся'!G4</f>
        <v>МУНИЦИПАЛЬНОЕ ОБЩЕОБРАЗОВАТЕЛЬНОЕ УЧРЕЖДЕНИЕ СРЕДНЯЯ ОБЩЕОБРАЗОВАТЕЛЬНАЯ ШКОЛА № 27</v>
      </c>
      <c r="C2" s="606"/>
      <c r="D2" s="606"/>
      <c r="E2" s="606"/>
      <c r="F2" s="606"/>
      <c r="G2" s="606"/>
      <c r="H2" s="606"/>
      <c r="I2" s="606"/>
      <c r="K2" s="352" t="s">
        <v>88</v>
      </c>
      <c r="L2" s="648" t="str">
        <f>'Ответы учащихся'!N2</f>
        <v>0501</v>
      </c>
      <c r="M2" s="648"/>
    </row>
  </sheetData>
  <sheetProtection password="C62D" sheet="1" scenarios="1" selectLockedCells="1" selectUnlockedCells="1"/>
  <mergeCells count="2">
    <mergeCell ref="L2:M2"/>
    <mergeCell ref="B2:I2"/>
  </mergeCells>
  <pageMargins left="0.7" right="0.7" top="0.75" bottom="0.75" header="0.3" footer="0.3"/>
  <pageSetup paperSize="9" orientation="landscape" r:id="rId1"/>
  <headerFooter>
    <oddHeader>&amp;CКГБУ "Региональный центр оценки качества образования"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Y31"/>
  <sheetViews>
    <sheetView view="pageLayout" topLeftCell="A16" workbookViewId="0">
      <selection activeCell="V2" sqref="V2"/>
    </sheetView>
  </sheetViews>
  <sheetFormatPr defaultColWidth="58.5703125" defaultRowHeight="12.75"/>
  <cols>
    <col min="1" max="1" width="6" style="52" customWidth="1"/>
    <col min="2" max="2" width="11.28515625" style="52" customWidth="1"/>
    <col min="3" max="25" width="5.5703125" style="52" customWidth="1"/>
    <col min="26" max="247" width="9.140625" style="52" customWidth="1"/>
    <col min="248" max="248" width="5.5703125" style="52" customWidth="1"/>
    <col min="249" max="16384" width="58.5703125" style="52"/>
  </cols>
  <sheetData>
    <row r="1" spans="1:25" ht="15.75" customHeight="1">
      <c r="A1" s="616" t="s">
        <v>225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</row>
    <row r="2" spans="1:25" ht="27.75" customHeight="1">
      <c r="A2" s="275" t="s">
        <v>87</v>
      </c>
      <c r="B2" s="650" t="str">
        <f>'СПИСОК КЛАССА'!E3</f>
        <v>МУНИЦИПАЛЬНОЕ ОБЩЕОБРАЗОВАТЕЛЬНОЕ УЧРЕЖДЕНИЕ СРЕДНЯЯ ОБЩЕОБРАЗОВАТЕЛЬНАЯ ШКОЛА № 27</v>
      </c>
      <c r="C2" s="650"/>
      <c r="D2" s="650"/>
      <c r="E2" s="650"/>
      <c r="F2" s="650"/>
      <c r="P2" s="620" t="s">
        <v>88</v>
      </c>
      <c r="Q2" s="620"/>
      <c r="R2" s="277" t="str">
        <f>'СПИСОК КЛАССА'!J1</f>
        <v>0501</v>
      </c>
      <c r="T2" s="162"/>
      <c r="U2" s="162"/>
      <c r="V2" s="162"/>
      <c r="W2" s="162"/>
      <c r="X2" s="162"/>
    </row>
    <row r="3" spans="1:25" ht="9" customHeight="1">
      <c r="A3" s="99"/>
      <c r="B3" s="159"/>
      <c r="C3" s="159"/>
      <c r="D3" s="159"/>
      <c r="E3" s="159"/>
      <c r="F3" s="159"/>
      <c r="P3" s="160"/>
      <c r="Q3" s="160"/>
      <c r="R3" s="163"/>
      <c r="T3" s="162"/>
      <c r="U3" s="162"/>
      <c r="V3" s="162"/>
      <c r="W3" s="162"/>
      <c r="X3" s="162"/>
    </row>
    <row r="4" spans="1:25">
      <c r="A4" s="651" t="s">
        <v>84</v>
      </c>
      <c r="B4" s="651"/>
      <c r="C4" s="161" t="s">
        <v>228</v>
      </c>
      <c r="D4" s="161" t="s">
        <v>229</v>
      </c>
      <c r="E4" s="161" t="s">
        <v>230</v>
      </c>
      <c r="F4" s="161" t="s">
        <v>231</v>
      </c>
      <c r="G4" s="161" t="s">
        <v>232</v>
      </c>
      <c r="H4" s="161" t="s">
        <v>233</v>
      </c>
      <c r="I4" s="161" t="s">
        <v>234</v>
      </c>
      <c r="J4" s="161" t="s">
        <v>235</v>
      </c>
      <c r="K4" s="161" t="s">
        <v>236</v>
      </c>
      <c r="L4" s="161" t="s">
        <v>237</v>
      </c>
      <c r="M4" s="161" t="s">
        <v>238</v>
      </c>
      <c r="N4" s="161" t="s">
        <v>239</v>
      </c>
      <c r="O4" s="161" t="s">
        <v>240</v>
      </c>
      <c r="P4" s="161" t="s">
        <v>241</v>
      </c>
      <c r="Q4" s="161" t="s">
        <v>242</v>
      </c>
      <c r="R4" s="161" t="s">
        <v>243</v>
      </c>
      <c r="S4" s="161" t="s">
        <v>244</v>
      </c>
      <c r="T4" s="161" t="s">
        <v>245</v>
      </c>
      <c r="U4" s="161" t="s">
        <v>246</v>
      </c>
      <c r="V4" s="161" t="s">
        <v>247</v>
      </c>
      <c r="W4" s="161" t="s">
        <v>248</v>
      </c>
      <c r="X4" s="161" t="s">
        <v>249</v>
      </c>
      <c r="Y4" s="161" t="s">
        <v>250</v>
      </c>
    </row>
    <row r="5" spans="1:25" ht="46.5" customHeight="1">
      <c r="A5" s="652" t="s">
        <v>78</v>
      </c>
      <c r="B5" s="652"/>
      <c r="C5" s="161" t="s">
        <v>83</v>
      </c>
      <c r="D5" s="161" t="s">
        <v>86</v>
      </c>
      <c r="E5" s="161" t="s">
        <v>83</v>
      </c>
      <c r="F5" s="161" t="s">
        <v>83</v>
      </c>
      <c r="G5" s="161" t="s">
        <v>83</v>
      </c>
      <c r="H5" s="161" t="s">
        <v>83</v>
      </c>
      <c r="I5" s="161" t="s">
        <v>83</v>
      </c>
      <c r="J5" s="161" t="s">
        <v>83</v>
      </c>
      <c r="K5" s="161" t="s">
        <v>83</v>
      </c>
      <c r="L5" s="161" t="s">
        <v>83</v>
      </c>
      <c r="M5" s="161" t="s">
        <v>83</v>
      </c>
      <c r="N5" s="161" t="s">
        <v>83</v>
      </c>
      <c r="O5" s="161" t="s">
        <v>86</v>
      </c>
      <c r="P5" s="161" t="s">
        <v>86</v>
      </c>
      <c r="Q5" s="161" t="s">
        <v>86</v>
      </c>
      <c r="R5" s="161" t="s">
        <v>86</v>
      </c>
      <c r="S5" s="161" t="s">
        <v>86</v>
      </c>
      <c r="T5" s="161" t="s">
        <v>86</v>
      </c>
      <c r="U5" s="161" t="s">
        <v>86</v>
      </c>
      <c r="V5" s="161" t="s">
        <v>86</v>
      </c>
      <c r="W5" s="161" t="s">
        <v>86</v>
      </c>
      <c r="X5" s="161" t="s">
        <v>86</v>
      </c>
      <c r="Y5" s="161" t="s">
        <v>86</v>
      </c>
    </row>
    <row r="6" spans="1:25" ht="33.75" customHeight="1">
      <c r="A6" s="652" t="s">
        <v>179</v>
      </c>
      <c r="B6" s="652"/>
      <c r="C6" s="390" t="s">
        <v>180</v>
      </c>
      <c r="D6" s="390" t="s">
        <v>181</v>
      </c>
      <c r="E6" s="653" t="s">
        <v>180</v>
      </c>
      <c r="F6" s="654"/>
      <c r="G6" s="654"/>
      <c r="H6" s="654"/>
      <c r="I6" s="654"/>
      <c r="J6" s="654"/>
      <c r="K6" s="654"/>
      <c r="L6" s="654"/>
      <c r="M6" s="654"/>
      <c r="N6" s="655"/>
      <c r="O6" s="653" t="s">
        <v>181</v>
      </c>
      <c r="P6" s="656"/>
      <c r="Q6" s="656"/>
      <c r="R6" s="656"/>
      <c r="S6" s="656"/>
      <c r="T6" s="656"/>
      <c r="U6" s="656"/>
      <c r="V6" s="656"/>
      <c r="W6" s="656"/>
      <c r="X6" s="656"/>
      <c r="Y6" s="657"/>
    </row>
    <row r="7" spans="1:25" ht="54" customHeight="1">
      <c r="A7" s="649" t="s">
        <v>182</v>
      </c>
      <c r="B7" s="649"/>
      <c r="C7" s="392">
        <f>План!G6</f>
        <v>0.89655172413793105</v>
      </c>
      <c r="D7" s="392">
        <f>План!G7</f>
        <v>0.82758620689655171</v>
      </c>
      <c r="E7" s="392">
        <f>План!G8</f>
        <v>0.96551724137931039</v>
      </c>
      <c r="F7" s="392">
        <f>План!G9</f>
        <v>0.86206896551724133</v>
      </c>
      <c r="G7" s="392">
        <f>План!G10</f>
        <v>0.68965517241379315</v>
      </c>
      <c r="H7" s="392">
        <f>План!G11</f>
        <v>0.75862068965517238</v>
      </c>
      <c r="I7" s="392">
        <f>План!G12</f>
        <v>0.75862068965517238</v>
      </c>
      <c r="J7" s="392">
        <f>План!G13</f>
        <v>0.51724137931034486</v>
      </c>
      <c r="K7" s="392">
        <f>План!G14</f>
        <v>0.51724137931034486</v>
      </c>
      <c r="L7" s="392">
        <f>План!G15</f>
        <v>0.62068965517241381</v>
      </c>
      <c r="M7" s="392">
        <f>План!G16</f>
        <v>0.58620689655172409</v>
      </c>
      <c r="N7" s="392">
        <f>План!G17</f>
        <v>0.51724137931034486</v>
      </c>
      <c r="O7" s="392">
        <f>План!G18</f>
        <v>0.7931034482758621</v>
      </c>
      <c r="P7" s="392">
        <f>План!G19</f>
        <v>0.58620689655172409</v>
      </c>
      <c r="Q7" s="392">
        <f>План!G20</f>
        <v>0.7931034482758621</v>
      </c>
      <c r="R7" s="392">
        <f>План!G21</f>
        <v>0.7931034482758621</v>
      </c>
      <c r="S7" s="392">
        <f>План!G22</f>
        <v>0.58620689655172409</v>
      </c>
      <c r="T7" s="392">
        <f>План!G23</f>
        <v>0.62068965517241381</v>
      </c>
      <c r="U7" s="392">
        <f>План!G24</f>
        <v>0.41379310344827586</v>
      </c>
      <c r="V7" s="392">
        <f>План!G25</f>
        <v>0.75862068965517238</v>
      </c>
      <c r="W7" s="392">
        <f>План!G26</f>
        <v>0.7931034482758621</v>
      </c>
      <c r="X7" s="392">
        <f>План!G28</f>
        <v>0.13793103448275862</v>
      </c>
      <c r="Y7" s="392">
        <f>План!G30</f>
        <v>0.27586206896551724</v>
      </c>
    </row>
    <row r="8" spans="1:25" ht="18.75" customHeight="1">
      <c r="C8" s="164">
        <v>0.3</v>
      </c>
      <c r="D8" s="164">
        <v>0.3</v>
      </c>
      <c r="E8" s="164">
        <v>0.3</v>
      </c>
      <c r="F8" s="164">
        <v>0.3</v>
      </c>
      <c r="G8" s="164">
        <v>0.3</v>
      </c>
      <c r="H8" s="164">
        <v>0.3</v>
      </c>
      <c r="I8" s="164">
        <v>0.3</v>
      </c>
      <c r="J8" s="164">
        <v>0.3</v>
      </c>
      <c r="K8" s="164">
        <v>0.3</v>
      </c>
      <c r="L8" s="164">
        <v>0.3</v>
      </c>
      <c r="M8" s="164">
        <v>0.3</v>
      </c>
      <c r="N8" s="164">
        <v>0.3</v>
      </c>
      <c r="O8" s="164">
        <v>0.3</v>
      </c>
      <c r="P8" s="164">
        <v>0.3</v>
      </c>
      <c r="Q8" s="164">
        <v>0.3</v>
      </c>
      <c r="R8" s="164">
        <v>0.3</v>
      </c>
      <c r="S8" s="164">
        <v>0.3</v>
      </c>
      <c r="T8" s="164">
        <v>0.2</v>
      </c>
      <c r="U8" s="164"/>
      <c r="V8" s="164"/>
      <c r="W8" s="164"/>
      <c r="X8" s="164"/>
      <c r="Y8" s="164">
        <v>0.2</v>
      </c>
    </row>
    <row r="9" spans="1:25" ht="51" customHeight="1">
      <c r="C9" s="164">
        <v>0.6</v>
      </c>
      <c r="D9" s="164">
        <v>0.6</v>
      </c>
      <c r="E9" s="164">
        <v>0.6</v>
      </c>
      <c r="F9" s="164">
        <v>0.6</v>
      </c>
      <c r="G9" s="164">
        <v>0.6</v>
      </c>
      <c r="H9" s="164">
        <v>0.6</v>
      </c>
      <c r="I9" s="164">
        <v>0.6</v>
      </c>
      <c r="J9" s="164">
        <v>0.6</v>
      </c>
      <c r="K9" s="164">
        <v>0.6</v>
      </c>
      <c r="L9" s="164">
        <v>0.6</v>
      </c>
      <c r="M9" s="164">
        <v>0.6</v>
      </c>
      <c r="N9" s="164">
        <v>0.6</v>
      </c>
      <c r="O9" s="164">
        <v>0.6</v>
      </c>
      <c r="P9" s="164">
        <v>0.6</v>
      </c>
      <c r="Q9" s="164">
        <v>0.6</v>
      </c>
      <c r="R9" s="164">
        <v>0.6</v>
      </c>
      <c r="S9" s="164">
        <v>0.6</v>
      </c>
      <c r="T9" s="164">
        <v>0.4</v>
      </c>
      <c r="U9" s="164"/>
      <c r="V9" s="164"/>
      <c r="W9" s="164"/>
      <c r="X9" s="164"/>
      <c r="Y9" s="164">
        <v>0.4</v>
      </c>
    </row>
    <row r="10" spans="1:25" ht="67.5" customHeight="1"/>
    <row r="11" spans="1:25" ht="33.75" customHeight="1"/>
    <row r="12" spans="1:25" ht="25.5" customHeight="1"/>
    <row r="13" spans="1:25" ht="19.5" customHeight="1"/>
    <row r="14" spans="1:25" ht="19.5" customHeight="1"/>
    <row r="15" spans="1:25" ht="19.5" customHeight="1"/>
    <row r="16" spans="1:25" ht="19.5" customHeight="1"/>
    <row r="17" ht="19.5" customHeight="1"/>
    <row r="18" ht="19.5" customHeight="1"/>
    <row r="19" ht="36" customHeight="1"/>
    <row r="20" ht="30.75" customHeight="1"/>
    <row r="21" ht="35.25" customHeight="1"/>
    <row r="22" ht="26.25" customHeight="1"/>
    <row r="23" ht="24" customHeight="1"/>
    <row r="24" ht="20.25" customHeight="1"/>
    <row r="25" ht="20.25" customHeight="1"/>
    <row r="26" ht="20.25" customHeight="1"/>
    <row r="27" ht="20.25" customHeight="1"/>
    <row r="28" ht="21" customHeight="1"/>
    <row r="29" ht="19.5" customHeight="1"/>
    <row r="30" ht="19.5" customHeight="1"/>
    <row r="31" ht="20.25" customHeight="1"/>
  </sheetData>
  <sheetProtection password="C62D" sheet="1" scenarios="1" selectLockedCells="1" selectUnlockedCells="1"/>
  <mergeCells count="9">
    <mergeCell ref="A7:B7"/>
    <mergeCell ref="A1:Y1"/>
    <mergeCell ref="B2:F2"/>
    <mergeCell ref="P2:Q2"/>
    <mergeCell ref="A4:B4"/>
    <mergeCell ref="A5:B5"/>
    <mergeCell ref="A6:B6"/>
    <mergeCell ref="E6:N6"/>
    <mergeCell ref="O6:Y6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&amp;CКГБУ "Региональный центр оценки качества образования"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B1:H74"/>
  <sheetViews>
    <sheetView view="pageLayout" topLeftCell="A58" workbookViewId="0">
      <selection activeCell="G4" sqref="G4"/>
    </sheetView>
  </sheetViews>
  <sheetFormatPr defaultColWidth="58.5703125" defaultRowHeight="12.75"/>
  <cols>
    <col min="1" max="1" width="1.7109375" customWidth="1"/>
    <col min="2" max="2" width="8.85546875" customWidth="1"/>
    <col min="3" max="5" width="38.42578125" customWidth="1"/>
    <col min="6" max="6" width="6.5703125" customWidth="1"/>
    <col min="7" max="7" width="8.42578125" customWidth="1"/>
    <col min="8" max="8" width="6.5703125" customWidth="1"/>
    <col min="9" max="180" width="9.140625" customWidth="1"/>
    <col min="181" max="181" width="5.5703125" customWidth="1"/>
  </cols>
  <sheetData>
    <row r="1" spans="2:8" s="52" customFormat="1" ht="17.25" customHeight="1">
      <c r="B1" s="607" t="s">
        <v>251</v>
      </c>
      <c r="C1" s="607"/>
      <c r="D1" s="607"/>
      <c r="E1" s="607"/>
      <c r="F1" s="607"/>
      <c r="G1" s="607"/>
      <c r="H1" s="105"/>
    </row>
    <row r="2" spans="2:8" s="52" customFormat="1" ht="27.75" customHeight="1">
      <c r="B2" s="275" t="s">
        <v>87</v>
      </c>
      <c r="C2" s="606" t="str">
        <f>'СПИСОК КЛАССА'!E3</f>
        <v>МУНИЦИПАЛЬНОЕ ОБЩЕОБРАЗОВАТЕЛЬНОЕ УЧРЕЖДЕНИЕ СРЕДНЯЯ ОБЩЕОБРАЗОВАТЕЛЬНАЯ ШКОЛА № 27</v>
      </c>
      <c r="D2" s="606"/>
      <c r="E2" s="278" t="s">
        <v>88</v>
      </c>
      <c r="F2" s="648" t="str">
        <f>'СПИСОК КЛАССА'!J1</f>
        <v>0501</v>
      </c>
      <c r="G2" s="648"/>
    </row>
    <row r="3" spans="2:8" s="52" customFormat="1" ht="7.5" customHeight="1">
      <c r="B3" s="603"/>
      <c r="C3" s="603"/>
      <c r="D3" s="603"/>
      <c r="E3" s="603"/>
      <c r="F3" s="603"/>
      <c r="G3" s="603"/>
      <c r="H3" s="603"/>
    </row>
    <row r="4" spans="2:8" ht="48" customHeight="1">
      <c r="B4" s="113"/>
      <c r="C4" s="132" t="s">
        <v>154</v>
      </c>
      <c r="D4" s="132" t="s">
        <v>155</v>
      </c>
      <c r="E4" s="132" t="s">
        <v>156</v>
      </c>
    </row>
    <row r="5" spans="2:8" ht="41.25" customHeight="1">
      <c r="B5" s="107" t="s">
        <v>94</v>
      </c>
      <c r="C5" s="142">
        <v>11</v>
      </c>
      <c r="D5" s="138">
        <f>Результаты_Класс!AK19*11/'Ответы учащихся'!E7</f>
        <v>84.58620689655173</v>
      </c>
      <c r="E5" s="138">
        <f>Результаты_Класс!AO18/'Ответы учащихся'!E7*100</f>
        <v>31.03448275862069</v>
      </c>
      <c r="G5" s="109"/>
    </row>
    <row r="6" spans="2:8" ht="44.25" customHeight="1">
      <c r="C6" s="122"/>
    </row>
    <row r="36" ht="18" customHeight="1"/>
    <row r="70" ht="18" customHeight="1"/>
    <row r="73" ht="47.25" customHeight="1"/>
    <row r="74" ht="18.75" customHeight="1"/>
  </sheetData>
  <sheetProtection password="C62D" sheet="1" scenarios="1" selectLockedCells="1" selectUnlockedCells="1"/>
  <mergeCells count="4">
    <mergeCell ref="C2:D2"/>
    <mergeCell ref="B1:G1"/>
    <mergeCell ref="F2:G2"/>
    <mergeCell ref="B3:H3"/>
  </mergeCells>
  <pageMargins left="0.11811023622047245" right="0.11811023622047245" top="0.60416666666666663" bottom="0.19685039370078741" header="0.31496062992125984" footer="0.31496062992125984"/>
  <pageSetup paperSize="9" orientation="landscape" r:id="rId1"/>
  <headerFooter>
    <oddHeader>&amp;CКГБУ "Региональный центр оценки качества образования"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W34"/>
  <sheetViews>
    <sheetView view="pageLayout" topLeftCell="A7" workbookViewId="0">
      <selection activeCell="U6" sqref="U6"/>
    </sheetView>
  </sheetViews>
  <sheetFormatPr defaultColWidth="58.5703125" defaultRowHeight="12.75"/>
  <cols>
    <col min="1" max="1" width="23" customWidth="1"/>
    <col min="2" max="3" width="7.140625" customWidth="1"/>
    <col min="4" max="4" width="9.42578125" hidden="1" customWidth="1"/>
    <col min="5" max="5" width="7.7109375" customWidth="1"/>
    <col min="6" max="6" width="9.140625" hidden="1" customWidth="1"/>
    <col min="7" max="7" width="7.85546875" customWidth="1"/>
    <col min="8" max="8" width="7.140625" hidden="1" customWidth="1"/>
    <col min="9" max="9" width="7.5703125" customWidth="1"/>
    <col min="10" max="10" width="9.85546875" hidden="1" customWidth="1"/>
    <col min="11" max="11" width="8.42578125" customWidth="1"/>
    <col min="12" max="12" width="7.140625" hidden="1" customWidth="1"/>
    <col min="13" max="13" width="9.140625" customWidth="1"/>
    <col min="14" max="23" width="6.5703125" customWidth="1"/>
    <col min="24" max="195" width="9.140625" customWidth="1"/>
    <col min="196" max="196" width="5.5703125" customWidth="1"/>
  </cols>
  <sheetData>
    <row r="1" spans="1:23" s="52" customFormat="1" ht="17.25" customHeight="1">
      <c r="A1" s="658" t="s">
        <v>183</v>
      </c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</row>
    <row r="2" spans="1:23" s="52" customFormat="1" ht="6.75" customHeight="1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</row>
    <row r="3" spans="1:23" s="52" customFormat="1" ht="8.25" customHeight="1">
      <c r="A3" s="152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</row>
    <row r="4" spans="1:23" ht="48" customHeight="1">
      <c r="A4" s="196" t="s">
        <v>157</v>
      </c>
      <c r="B4" s="194" t="s">
        <v>253</v>
      </c>
      <c r="C4" s="194" t="s">
        <v>254</v>
      </c>
      <c r="D4" s="197"/>
      <c r="E4" s="194" t="s">
        <v>255</v>
      </c>
      <c r="F4" s="194" t="s">
        <v>256</v>
      </c>
      <c r="G4" s="194" t="s">
        <v>256</v>
      </c>
      <c r="H4" s="194" t="s">
        <v>257</v>
      </c>
      <c r="I4" s="194" t="s">
        <v>257</v>
      </c>
      <c r="J4" s="197"/>
      <c r="K4" s="194" t="s">
        <v>258</v>
      </c>
      <c r="L4" s="194" t="s">
        <v>260</v>
      </c>
      <c r="M4" s="194" t="s">
        <v>259</v>
      </c>
      <c r="N4" s="194" t="s">
        <v>260</v>
      </c>
      <c r="O4" s="194" t="s">
        <v>261</v>
      </c>
      <c r="P4" s="194" t="s">
        <v>262</v>
      </c>
      <c r="Q4" s="194" t="s">
        <v>263</v>
      </c>
      <c r="R4" s="270"/>
      <c r="S4" s="270"/>
      <c r="T4" s="270"/>
      <c r="U4" s="270"/>
      <c r="V4" s="270"/>
      <c r="W4" s="270"/>
    </row>
    <row r="5" spans="1:23" ht="41.25" customHeight="1">
      <c r="A5" s="153" t="s">
        <v>158</v>
      </c>
      <c r="B5" s="154">
        <f>Результаты_Класс!F17</f>
        <v>26</v>
      </c>
      <c r="C5" s="154">
        <f>Результаты_Класс!H17</f>
        <v>28</v>
      </c>
      <c r="D5" s="195"/>
      <c r="E5" s="154">
        <f>Результаты_Класс!I17</f>
        <v>25</v>
      </c>
      <c r="F5" s="195"/>
      <c r="G5" s="154">
        <f>Результаты_Класс!J17</f>
        <v>20</v>
      </c>
      <c r="H5" s="195"/>
      <c r="I5" s="154">
        <f>Результаты_Класс!K17</f>
        <v>22</v>
      </c>
      <c r="J5" s="195"/>
      <c r="K5" s="154">
        <f>Результаты_Класс!L17</f>
        <v>22</v>
      </c>
      <c r="L5" s="195"/>
      <c r="M5" s="154">
        <f>Результаты_Класс!M17</f>
        <v>15</v>
      </c>
      <c r="N5" s="154">
        <f>Результаты_Класс!N17</f>
        <v>15</v>
      </c>
      <c r="O5" s="154">
        <f>Результаты_Класс!O17</f>
        <v>18</v>
      </c>
      <c r="P5" s="154">
        <f>Результаты_Класс!P17</f>
        <v>17</v>
      </c>
      <c r="Q5" s="154">
        <f>Результаты_Класс!Q17</f>
        <v>15</v>
      </c>
      <c r="R5" s="271"/>
      <c r="S5" s="271"/>
      <c r="T5" s="271"/>
      <c r="U5" s="271"/>
      <c r="V5" s="271"/>
      <c r="W5" s="271"/>
    </row>
    <row r="6" spans="1:23" ht="44.25" customHeight="1">
      <c r="A6" s="153" t="s">
        <v>159</v>
      </c>
      <c r="B6" s="155">
        <f>B5/'Ответы учащихся'!$E$7*100</f>
        <v>89.65517241379311</v>
      </c>
      <c r="C6" s="155">
        <f>C5/'Ответы учащихся'!$E$7*100</f>
        <v>96.551724137931032</v>
      </c>
      <c r="D6" s="195"/>
      <c r="E6" s="155">
        <f>E5/'Ответы учащихся'!$E$7*100</f>
        <v>86.206896551724128</v>
      </c>
      <c r="F6" s="195"/>
      <c r="G6" s="155">
        <f>G5/'Ответы учащихся'!$E$7*100</f>
        <v>68.965517241379317</v>
      </c>
      <c r="H6" s="195"/>
      <c r="I6" s="155">
        <f>I5/'Ответы учащихся'!$E$7*100</f>
        <v>75.862068965517238</v>
      </c>
      <c r="J6" s="195"/>
      <c r="K6" s="155">
        <f>K5/'Ответы учащихся'!$E$7*100</f>
        <v>75.862068965517238</v>
      </c>
      <c r="L6" s="195"/>
      <c r="M6" s="155">
        <f>M5/'Ответы учащихся'!$E$7*100</f>
        <v>51.724137931034484</v>
      </c>
      <c r="N6" s="155">
        <f>N5/'Ответы учащихся'!$E$7*100</f>
        <v>51.724137931034484</v>
      </c>
      <c r="O6" s="155">
        <f>O5/'Ответы учащихся'!$E$7*100</f>
        <v>62.068965517241381</v>
      </c>
      <c r="P6" s="155">
        <f>P5/'Ответы учащихся'!$E$7*100</f>
        <v>58.620689655172406</v>
      </c>
      <c r="Q6" s="155">
        <f>Q5/'Ответы учащихся'!$E$7*100</f>
        <v>51.724137931034484</v>
      </c>
      <c r="R6" s="272"/>
      <c r="S6" s="272"/>
      <c r="T6" s="272"/>
      <c r="U6" s="272"/>
      <c r="V6" s="272"/>
      <c r="W6" s="272"/>
    </row>
    <row r="7" spans="1:23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</row>
    <row r="8" spans="1:23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</row>
    <row r="9" spans="1:23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</row>
    <row r="10" spans="1:23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</row>
    <row r="11" spans="1:23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</row>
    <row r="12" spans="1:23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</row>
    <row r="13" spans="1:23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</row>
    <row r="14" spans="1:23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</row>
    <row r="15" spans="1:23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</row>
    <row r="16" spans="1:23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</row>
    <row r="17" spans="1:23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</row>
    <row r="18" spans="1:23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</row>
    <row r="19" spans="1:23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</row>
    <row r="20" spans="1:23">
      <c r="A20" s="144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</row>
    <row r="21" spans="1:23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</row>
    <row r="22" spans="1:23">
      <c r="A22" s="144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</row>
    <row r="23" spans="1:23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</row>
    <row r="24" spans="1:23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</row>
    <row r="25" spans="1:23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</row>
    <row r="26" spans="1:23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</row>
    <row r="27" spans="1:23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</row>
    <row r="28" spans="1:23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</row>
    <row r="29" spans="1:23">
      <c r="A29" s="144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</row>
    <row r="30" spans="1:23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</row>
    <row r="31" spans="1:23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</row>
    <row r="32" spans="1:23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</row>
    <row r="33" spans="1:23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</row>
    <row r="34" spans="1:23" ht="14.25" customHeight="1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</row>
  </sheetData>
  <sheetProtection password="C62D" sheet="1" scenarios="1" selectLockedCells="1" selectUnlockedCells="1"/>
  <mergeCells count="1">
    <mergeCell ref="A1:W1"/>
  </mergeCells>
  <pageMargins left="0.11811023622047245" right="0.11811023622047245" top="0.60416666666666663" bottom="0.19685039370078741" header="0.31496062992125984" footer="0.31496062992125984"/>
  <pageSetup paperSize="9" orientation="landscape" r:id="rId1"/>
  <headerFooter>
    <oddHeader>&amp;CКГБУ "Региональный центр оценки качества образования"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B1:H74"/>
  <sheetViews>
    <sheetView view="pageLayout" topLeftCell="A7" workbookViewId="0">
      <selection activeCell="G5" sqref="G5"/>
    </sheetView>
  </sheetViews>
  <sheetFormatPr defaultColWidth="58.5703125" defaultRowHeight="12.75"/>
  <cols>
    <col min="1" max="1" width="1.7109375" customWidth="1"/>
    <col min="2" max="2" width="8.85546875" customWidth="1"/>
    <col min="3" max="5" width="38.42578125" customWidth="1"/>
    <col min="6" max="6" width="6.5703125" customWidth="1"/>
    <col min="7" max="7" width="8.42578125" customWidth="1"/>
    <col min="8" max="8" width="6.5703125" customWidth="1"/>
    <col min="9" max="180" width="9.140625" customWidth="1"/>
    <col min="181" max="181" width="5.5703125" customWidth="1"/>
  </cols>
  <sheetData>
    <row r="1" spans="2:8" s="52" customFormat="1" ht="17.25" customHeight="1">
      <c r="B1" s="607" t="s">
        <v>280</v>
      </c>
      <c r="C1" s="607"/>
      <c r="D1" s="607"/>
      <c r="E1" s="607"/>
      <c r="F1" s="607"/>
      <c r="G1" s="607"/>
      <c r="H1" s="105"/>
    </row>
    <row r="2" spans="2:8" s="52" customFormat="1" ht="27.75" customHeight="1">
      <c r="B2" s="275" t="s">
        <v>87</v>
      </c>
      <c r="C2" s="606" t="str">
        <f>'СПИСОК КЛАССА'!E3</f>
        <v>МУНИЦИПАЛЬНОЕ ОБЩЕОБРАЗОВАТЕЛЬНОЕ УЧРЕЖДЕНИЕ СРЕДНЯЯ ОБЩЕОБРАЗОВАТЕЛЬНАЯ ШКОЛА № 27</v>
      </c>
      <c r="D2" s="606"/>
      <c r="E2" s="278" t="s">
        <v>88</v>
      </c>
      <c r="F2" s="659" t="str">
        <f>'СПИСОК КЛАССА'!J1</f>
        <v>0501</v>
      </c>
      <c r="G2" s="659"/>
    </row>
    <row r="3" spans="2:8" s="52" customFormat="1" ht="7.5" customHeight="1">
      <c r="B3" s="603"/>
      <c r="C3" s="603"/>
      <c r="D3" s="603"/>
      <c r="E3" s="603"/>
      <c r="F3" s="603"/>
      <c r="G3" s="603"/>
      <c r="H3" s="603"/>
    </row>
    <row r="4" spans="2:8" ht="48" customHeight="1">
      <c r="B4" s="113"/>
      <c r="C4" s="262" t="s">
        <v>264</v>
      </c>
      <c r="D4" s="262" t="s">
        <v>265</v>
      </c>
      <c r="E4" s="262" t="s">
        <v>266</v>
      </c>
    </row>
    <row r="5" spans="2:8" ht="41.25" customHeight="1">
      <c r="B5" s="107" t="s">
        <v>94</v>
      </c>
      <c r="C5" s="142">
        <v>11</v>
      </c>
      <c r="D5" s="138">
        <f>Результаты_Класс!AM19*14/'Ответы учащихся'!E7</f>
        <v>131.31034482758622</v>
      </c>
      <c r="E5" s="138">
        <f>(Результаты_Класс!AO17+Результаты_Класс!AO18)/'Ответы учащихся'!E7*100</f>
        <v>65.517241379310349</v>
      </c>
      <c r="G5" s="109"/>
    </row>
    <row r="6" spans="2:8" ht="44.25" customHeight="1">
      <c r="C6" s="122"/>
    </row>
    <row r="36" ht="18" customHeight="1"/>
    <row r="70" ht="18" customHeight="1"/>
    <row r="73" ht="47.25" customHeight="1"/>
    <row r="74" ht="18.75" customHeight="1"/>
  </sheetData>
  <sheetProtection password="C62D" sheet="1" scenarios="1" selectLockedCells="1" selectUnlockedCells="1"/>
  <mergeCells count="4">
    <mergeCell ref="B1:G1"/>
    <mergeCell ref="C2:D2"/>
    <mergeCell ref="F2:G2"/>
    <mergeCell ref="B3:H3"/>
  </mergeCells>
  <pageMargins left="0.11811023622047245" right="0.11811023622047245" top="0.60416666666666663" bottom="0.19685039370078741" header="0.31496062992125984" footer="0.31496062992125984"/>
  <pageSetup paperSize="9" orientation="landscape" r:id="rId1"/>
  <headerFooter>
    <oddHeader>&amp;CКГБУ "Региональный центр оценки качества образования"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Q34"/>
  <sheetViews>
    <sheetView view="pageLayout" topLeftCell="A10" workbookViewId="0">
      <selection activeCell="N7" sqref="N7"/>
    </sheetView>
  </sheetViews>
  <sheetFormatPr defaultRowHeight="12.75"/>
  <cols>
    <col min="1" max="1" width="17.28515625" customWidth="1"/>
    <col min="2" max="2" width="18" customWidth="1"/>
    <col min="3" max="3" width="9.140625" hidden="1" customWidth="1"/>
    <col min="4" max="4" width="12" customWidth="1"/>
    <col min="5" max="5" width="12.7109375" hidden="1" customWidth="1"/>
    <col min="6" max="6" width="11.42578125" customWidth="1"/>
    <col min="7" max="7" width="12.140625" hidden="1" customWidth="1"/>
    <col min="8" max="8" width="10.28515625" customWidth="1"/>
    <col min="9" max="9" width="12.28515625" hidden="1" customWidth="1"/>
    <col min="10" max="10" width="14" customWidth="1"/>
    <col min="11" max="11" width="15.28515625" hidden="1" customWidth="1"/>
    <col min="12" max="12" width="19.140625" customWidth="1"/>
  </cols>
  <sheetData>
    <row r="1" spans="1:17" ht="20.25" customHeight="1">
      <c r="A1" s="660" t="str">
        <f>Базовый_Уч!B1</f>
        <v>Результаты выполнения работы по английскому языку (5 класс, начало 2013/2014)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660"/>
      <c r="P1" s="156"/>
      <c r="Q1" s="156"/>
    </row>
    <row r="2" spans="1:17" ht="3.7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57"/>
      <c r="Q2" s="157"/>
    </row>
    <row r="3" spans="1:17" ht="32.25" customHeight="1">
      <c r="A3" s="275" t="s">
        <v>87</v>
      </c>
      <c r="B3" s="606" t="str">
        <f>'СПИСОК КЛАССА'!E3</f>
        <v>МУНИЦИПАЛЬНОЕ ОБЩЕОБРАЗОВАТЕЛЬНОЕ УЧРЕЖДЕНИЕ СРЕДНЯЯ ОБЩЕОБРАЗОВАТЕЛЬНАЯ ШКОЛА № 27</v>
      </c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278" t="s">
        <v>88</v>
      </c>
      <c r="N3" s="202" t="str">
        <f>'СПИСОК КЛАССА'!J1</f>
        <v>0501</v>
      </c>
      <c r="O3" s="118"/>
    </row>
    <row r="4" spans="1:17" ht="6.75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7" ht="15.75">
      <c r="A5" s="567" t="s">
        <v>268</v>
      </c>
      <c r="B5" s="567"/>
      <c r="C5" s="567"/>
      <c r="D5" s="567"/>
      <c r="E5" s="567"/>
      <c r="F5" s="567"/>
      <c r="G5" s="567"/>
      <c r="H5" s="145">
        <f>'Ответы учащихся'!E7</f>
        <v>29</v>
      </c>
      <c r="I5" s="190"/>
      <c r="J5" s="143" t="s">
        <v>81</v>
      </c>
      <c r="K5" s="143"/>
      <c r="L5" s="118"/>
      <c r="M5" s="118"/>
      <c r="N5" s="118"/>
      <c r="O5" s="118"/>
    </row>
    <row r="6" spans="1:17" ht="36.75" customHeight="1">
      <c r="A6" s="147" t="s">
        <v>84</v>
      </c>
      <c r="B6" s="147" t="s">
        <v>160</v>
      </c>
      <c r="C6" s="149"/>
      <c r="D6" s="147" t="s">
        <v>185</v>
      </c>
      <c r="E6" s="199"/>
      <c r="F6" s="147" t="s">
        <v>91</v>
      </c>
      <c r="G6" s="199"/>
      <c r="H6" s="147" t="s">
        <v>92</v>
      </c>
      <c r="I6" s="199"/>
      <c r="J6" s="147" t="s">
        <v>80</v>
      </c>
      <c r="K6" s="199"/>
      <c r="L6" s="147" t="s">
        <v>90</v>
      </c>
      <c r="M6" s="118"/>
      <c r="N6" s="118"/>
      <c r="O6" s="118"/>
    </row>
    <row r="7" spans="1:17" ht="17.25" customHeight="1">
      <c r="A7" s="148" t="s">
        <v>267</v>
      </c>
      <c r="B7" s="148">
        <v>3</v>
      </c>
      <c r="C7" s="150">
        <f>Результаты_Класс!AE15</f>
        <v>0</v>
      </c>
      <c r="D7" s="151">
        <f>Результаты_Класс!AE19/Результаты_Класс!F6*100</f>
        <v>27.586206896551722</v>
      </c>
      <c r="E7" s="151" t="e">
        <f>Результаты_Класс!AF19/Результаты_Класс!G6*100</f>
        <v>#DIV/0!</v>
      </c>
      <c r="F7" s="151">
        <f>Результаты_Класс!AD19/Результаты_Класс!F6*100</f>
        <v>44.827586206896555</v>
      </c>
      <c r="G7" s="151" t="e">
        <f>Результаты_Класс!AE19/Результаты_Класс!G6*100</f>
        <v>#DIV/0!</v>
      </c>
      <c r="H7" s="151">
        <f>Результаты_Класс!AC19/Результаты_Класс!F6*100</f>
        <v>13.793103448275861</v>
      </c>
      <c r="I7" s="151" t="e">
        <f>Результаты_Класс!AD19/Результаты_Класс!G6*100</f>
        <v>#DIV/0!</v>
      </c>
      <c r="J7" s="151">
        <f>Результаты_Класс!AF19/Результаты_Класс!F6*100</f>
        <v>13.793103448275861</v>
      </c>
      <c r="K7" s="151" t="e">
        <f>Результаты_Класс!AG19/Результаты_Класс!G6*100</f>
        <v>#DIV/0!</v>
      </c>
      <c r="L7" s="151">
        <f>Результаты_Класс!AG19/Результаты_Класс!F6*100</f>
        <v>0</v>
      </c>
      <c r="M7" s="118"/>
      <c r="N7" s="118"/>
      <c r="O7" s="118"/>
    </row>
    <row r="8" spans="1:17">
      <c r="A8" s="118"/>
      <c r="B8" s="118"/>
      <c r="C8" s="118"/>
      <c r="D8" s="118"/>
      <c r="E8" s="118"/>
      <c r="F8" s="118"/>
      <c r="G8" s="200"/>
      <c r="H8" s="118"/>
      <c r="I8" s="118"/>
      <c r="J8" s="118"/>
      <c r="K8" s="118"/>
      <c r="L8" s="118"/>
      <c r="M8" s="118"/>
      <c r="N8" s="118"/>
      <c r="O8" s="118"/>
    </row>
    <row r="9" spans="1:17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</row>
    <row r="10" spans="1:17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</row>
    <row r="11" spans="1:17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</row>
    <row r="12" spans="1:17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  <row r="13" spans="1:17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</row>
    <row r="14" spans="1:17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</row>
    <row r="15" spans="1:17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</row>
    <row r="16" spans="1:17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</row>
    <row r="17" spans="1:15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</row>
    <row r="18" spans="1:15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</row>
    <row r="19" spans="1:15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</row>
    <row r="20" spans="1:15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</row>
    <row r="21" spans="1:15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</row>
    <row r="22" spans="1:15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</row>
    <row r="23" spans="1:15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</row>
    <row r="24" spans="1:15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</row>
    <row r="25" spans="1:15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</row>
    <row r="26" spans="1:15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</row>
    <row r="27" spans="1:15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</row>
    <row r="28" spans="1:15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</row>
    <row r="29" spans="1:15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</row>
    <row r="30" spans="1:1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</row>
    <row r="31" spans="1:15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</row>
    <row r="32" spans="1:15">
      <c r="A32" s="11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</row>
    <row r="33" spans="1:15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</row>
    <row r="34" spans="1:15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</row>
  </sheetData>
  <sheetProtection password="C62D" sheet="1" scenarios="1" selectLockedCells="1" selectUnlockedCells="1"/>
  <mergeCells count="3">
    <mergeCell ref="A5:G5"/>
    <mergeCell ref="B3:L3"/>
    <mergeCell ref="A1:O1"/>
  </mergeCells>
  <pageMargins left="0.7" right="0.7" top="0.75" bottom="0.75" header="0.3" footer="0.3"/>
  <pageSetup paperSize="9" orientation="landscape" r:id="rId1"/>
  <headerFooter>
    <oddHeader>&amp;CКГБУ "Региональный центр оценки качества образования"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W15"/>
  <sheetViews>
    <sheetView tabSelected="1" view="pageLayout" workbookViewId="0">
      <selection activeCell="K59" sqref="K59"/>
    </sheetView>
  </sheetViews>
  <sheetFormatPr defaultRowHeight="12.75"/>
  <cols>
    <col min="1" max="1" width="3.85546875" customWidth="1"/>
    <col min="2" max="2" width="20.140625" customWidth="1"/>
    <col min="3" max="3" width="12.28515625" customWidth="1"/>
    <col min="4" max="4" width="6.28515625" customWidth="1"/>
    <col min="5" max="5" width="8.85546875" customWidth="1"/>
    <col min="6" max="6" width="10.140625" customWidth="1"/>
    <col min="7" max="7" width="10.5703125" customWidth="1"/>
    <col min="8" max="8" width="8.85546875" customWidth="1"/>
    <col min="9" max="9" width="5.7109375" customWidth="1"/>
    <col min="10" max="10" width="7.5703125" customWidth="1"/>
    <col min="11" max="11" width="5.140625" customWidth="1"/>
    <col min="12" max="12" width="7" customWidth="1"/>
    <col min="13" max="13" width="7.7109375" customWidth="1"/>
    <col min="14" max="14" width="6.85546875" customWidth="1"/>
    <col min="15" max="15" width="5.140625" customWidth="1"/>
    <col min="16" max="16" width="7.28515625" customWidth="1"/>
    <col min="18" max="18" width="10.28515625" bestFit="1" customWidth="1"/>
  </cols>
  <sheetData>
    <row r="1" spans="1:23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23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23" ht="15.75" customHeight="1">
      <c r="A3" s="660" t="str">
        <f>'Д-класс'!A1:G1</f>
        <v>Результаты выполнения работы по английскому языку (5 класс, начало 2013/2014)</v>
      </c>
      <c r="B3" s="660"/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105"/>
      <c r="R3" s="105"/>
      <c r="S3" s="105"/>
      <c r="T3" s="105"/>
      <c r="U3" s="105"/>
      <c r="V3" s="105"/>
      <c r="W3" s="105"/>
    </row>
    <row r="4" spans="1:23" ht="37.5" customHeight="1">
      <c r="A4" s="350" t="s">
        <v>87</v>
      </c>
      <c r="B4" s="606" t="str">
        <f>'СПИСОК КЛАССА'!E3</f>
        <v>МУНИЦИПАЛЬНОЕ ОБЩЕОБРАЗОВАТЕЛЬНОЕ УЧРЕЖДЕНИЕ СРЕДНЯЯ ОБЩЕОБРАЗОВАТЕЛЬНАЯ ШКОЛА № 27</v>
      </c>
      <c r="C4" s="606"/>
      <c r="D4" s="606"/>
      <c r="E4" s="606"/>
      <c r="F4" s="606"/>
      <c r="G4" s="666"/>
      <c r="H4" s="666"/>
      <c r="I4" s="666"/>
      <c r="J4" s="121"/>
      <c r="K4" s="667" t="s">
        <v>88</v>
      </c>
      <c r="L4" s="667"/>
      <c r="M4" s="667"/>
      <c r="N4" s="201" t="str">
        <f>'СПИСОК КЛАССА'!J1</f>
        <v>0501</v>
      </c>
      <c r="O4" s="118"/>
      <c r="P4" s="116"/>
      <c r="Q4" s="115"/>
    </row>
    <row r="5" spans="1:23" ht="25.5" customHeight="1">
      <c r="A5" s="686" t="s">
        <v>130</v>
      </c>
      <c r="B5" s="686"/>
      <c r="C5" s="117">
        <f>'Ответы учащихся'!E7</f>
        <v>29</v>
      </c>
      <c r="D5" s="665"/>
      <c r="E5" s="665"/>
      <c r="F5" s="665"/>
      <c r="G5" s="348"/>
      <c r="H5" s="144"/>
      <c r="I5" s="661"/>
      <c r="J5" s="661"/>
      <c r="K5" s="661"/>
      <c r="L5" s="661"/>
      <c r="M5" s="349"/>
      <c r="N5" s="349"/>
      <c r="O5" s="118"/>
      <c r="P5" s="118"/>
    </row>
    <row r="6" spans="1:23" ht="11.25" customHeight="1" thickBot="1">
      <c r="A6" s="119"/>
      <c r="B6" s="119"/>
      <c r="C6" s="120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</row>
    <row r="7" spans="1:23" ht="59.25" customHeight="1">
      <c r="A7" s="683" t="s">
        <v>123</v>
      </c>
      <c r="B7" s="668" t="s">
        <v>89</v>
      </c>
      <c r="C7" s="671" t="s">
        <v>121</v>
      </c>
      <c r="D7" s="662" t="s">
        <v>170</v>
      </c>
      <c r="E7" s="664"/>
      <c r="F7" s="662" t="s">
        <v>171</v>
      </c>
      <c r="G7" s="663"/>
      <c r="H7" s="674" t="s">
        <v>122</v>
      </c>
      <c r="I7" s="677" t="s">
        <v>172</v>
      </c>
      <c r="J7" s="678"/>
      <c r="K7" s="678"/>
      <c r="L7" s="687"/>
      <c r="M7" s="677" t="s">
        <v>171</v>
      </c>
      <c r="N7" s="678"/>
      <c r="O7" s="678"/>
      <c r="P7" s="679"/>
    </row>
    <row r="8" spans="1:23" ht="36.75" customHeight="1">
      <c r="A8" s="684"/>
      <c r="B8" s="669"/>
      <c r="C8" s="672"/>
      <c r="D8" s="690" t="s">
        <v>81</v>
      </c>
      <c r="E8" s="688" t="s">
        <v>126</v>
      </c>
      <c r="F8" s="326" t="s">
        <v>178</v>
      </c>
      <c r="G8" s="327" t="s">
        <v>125</v>
      </c>
      <c r="H8" s="675"/>
      <c r="I8" s="680" t="s">
        <v>173</v>
      </c>
      <c r="J8" s="681"/>
      <c r="K8" s="680" t="s">
        <v>167</v>
      </c>
      <c r="L8" s="681"/>
      <c r="M8" s="680" t="s">
        <v>124</v>
      </c>
      <c r="N8" s="681"/>
      <c r="O8" s="680" t="s">
        <v>125</v>
      </c>
      <c r="P8" s="682"/>
    </row>
    <row r="9" spans="1:23" ht="27.75" customHeight="1" thickBot="1">
      <c r="A9" s="685"/>
      <c r="B9" s="670"/>
      <c r="C9" s="673"/>
      <c r="D9" s="691"/>
      <c r="E9" s="689"/>
      <c r="F9" s="328" t="s">
        <v>126</v>
      </c>
      <c r="G9" s="329" t="s">
        <v>126</v>
      </c>
      <c r="H9" s="676"/>
      <c r="I9" s="325" t="s">
        <v>81</v>
      </c>
      <c r="J9" s="325" t="s">
        <v>126</v>
      </c>
      <c r="K9" s="325" t="s">
        <v>81</v>
      </c>
      <c r="L9" s="325" t="s">
        <v>126</v>
      </c>
      <c r="M9" s="325" t="s">
        <v>81</v>
      </c>
      <c r="N9" s="325" t="s">
        <v>126</v>
      </c>
      <c r="O9" s="325" t="s">
        <v>81</v>
      </c>
      <c r="P9" s="134" t="s">
        <v>126</v>
      </c>
    </row>
    <row r="10" spans="1:23" ht="39" customHeight="1">
      <c r="A10" s="330">
        <v>1</v>
      </c>
      <c r="B10" s="331" t="s">
        <v>272</v>
      </c>
      <c r="C10" s="332" t="s">
        <v>253</v>
      </c>
      <c r="D10" s="333">
        <f>Результаты_Класс!F17</f>
        <v>26</v>
      </c>
      <c r="E10" s="334">
        <f>D10/($C$5*1)</f>
        <v>0.89655172413793105</v>
      </c>
      <c r="F10" s="334">
        <f>(Результаты_Класс!F18/($C$5*1))</f>
        <v>0.10344827586206896</v>
      </c>
      <c r="G10" s="334">
        <f>(Результаты_Класс!G19/($C$5*1))</f>
        <v>0</v>
      </c>
      <c r="H10" s="335" t="s">
        <v>269</v>
      </c>
      <c r="I10" s="336">
        <f>Результаты_Класс!G17</f>
        <v>24</v>
      </c>
      <c r="J10" s="334">
        <f>I10/($C$5*1)</f>
        <v>0.82758620689655171</v>
      </c>
      <c r="K10" s="336" t="s">
        <v>275</v>
      </c>
      <c r="L10" s="334" t="s">
        <v>275</v>
      </c>
      <c r="M10" s="346">
        <f>Результаты_Класс!G18</f>
        <v>5</v>
      </c>
      <c r="N10" s="334">
        <f>(M10/($C$5*1))</f>
        <v>0.17241379310344829</v>
      </c>
      <c r="O10" s="336">
        <f>Результаты_Класс!G19</f>
        <v>0</v>
      </c>
      <c r="P10" s="334">
        <f>(O10/($C$5*1))</f>
        <v>0</v>
      </c>
      <c r="R10" s="158"/>
      <c r="T10" s="122"/>
    </row>
    <row r="11" spans="1:23" ht="50.25" customHeight="1">
      <c r="A11" s="337">
        <v>2</v>
      </c>
      <c r="B11" s="338" t="s">
        <v>273</v>
      </c>
      <c r="C11" s="339" t="s">
        <v>270</v>
      </c>
      <c r="D11" s="340">
        <f>SUM(Результаты_Класс!H17:Q17)</f>
        <v>197</v>
      </c>
      <c r="E11" s="341">
        <f>D11/($C$5*10)</f>
        <v>0.67931034482758623</v>
      </c>
      <c r="F11" s="334">
        <f>(SUM(Результаты_Класс!H18:Q18)/($C$5*10))</f>
        <v>0.30344827586206896</v>
      </c>
      <c r="G11" s="334">
        <f>(SUM(Результаты_Класс!H19:Q19)/($C$5*10))</f>
        <v>1.7241379310344827E-2</v>
      </c>
      <c r="H11" s="342" t="s">
        <v>271</v>
      </c>
      <c r="I11" s="340">
        <f>SUM(Результаты_Класс!R17:AA17)</f>
        <v>194</v>
      </c>
      <c r="J11" s="334">
        <f>I11/($C$5*10)</f>
        <v>0.66896551724137931</v>
      </c>
      <c r="K11" s="343" t="s">
        <v>275</v>
      </c>
      <c r="L11" s="344" t="s">
        <v>275</v>
      </c>
      <c r="M11" s="340">
        <f>SUM(Результаты_Класс!R18:AA18)</f>
        <v>80</v>
      </c>
      <c r="N11" s="334">
        <f>(M11/($C$5*10))</f>
        <v>0.27586206896551724</v>
      </c>
      <c r="O11" s="336">
        <f>SUM(Результаты_Класс!R19:AA19)</f>
        <v>16</v>
      </c>
      <c r="P11" s="334">
        <f>(O11/($C$5*1))</f>
        <v>0.55172413793103448</v>
      </c>
      <c r="R11" s="56"/>
      <c r="T11" s="122"/>
    </row>
    <row r="12" spans="1:23" ht="42" customHeight="1">
      <c r="A12" s="337">
        <v>3</v>
      </c>
      <c r="B12" s="338" t="s">
        <v>274</v>
      </c>
      <c r="C12" s="339"/>
      <c r="D12" s="340"/>
      <c r="E12" s="341"/>
      <c r="F12" s="341"/>
      <c r="G12" s="345"/>
      <c r="H12" s="342" t="s">
        <v>276</v>
      </c>
      <c r="I12" s="340">
        <f>Результаты_Класс!AB15</f>
        <v>8</v>
      </c>
      <c r="J12" s="334">
        <f>I12/($C$5*1)</f>
        <v>0.27586206896551724</v>
      </c>
      <c r="K12" s="343">
        <f>SUM(Результаты_Класс!AB16:AB17)</f>
        <v>17</v>
      </c>
      <c r="L12" s="347">
        <f>K12/($C$5*1)</f>
        <v>0.58620689655172409</v>
      </c>
      <c r="M12" s="343">
        <f>Результаты_Класс!AB18</f>
        <v>4</v>
      </c>
      <c r="N12" s="334">
        <f>(M12/($C$5*10))</f>
        <v>1.3793103448275862E-2</v>
      </c>
      <c r="O12" s="343">
        <f>Результаты_Класс!AB19</f>
        <v>0</v>
      </c>
      <c r="P12" s="334">
        <f>(O12/($C$5*1))</f>
        <v>0</v>
      </c>
      <c r="R12" s="158"/>
      <c r="T12" s="122"/>
    </row>
    <row r="14" spans="1:23">
      <c r="J14" s="122"/>
    </row>
    <row r="15" spans="1:23">
      <c r="C15" s="109"/>
      <c r="G15" s="109"/>
    </row>
  </sheetData>
  <sheetProtection password="C62D" sheet="1" scenarios="1" selectLockedCells="1" selectUnlockedCells="1"/>
  <mergeCells count="20">
    <mergeCell ref="E8:E9"/>
    <mergeCell ref="D8:D9"/>
    <mergeCell ref="I8:J8"/>
    <mergeCell ref="K8:L8"/>
    <mergeCell ref="I5:L5"/>
    <mergeCell ref="F7:G7"/>
    <mergeCell ref="D7:E7"/>
    <mergeCell ref="D5:F5"/>
    <mergeCell ref="A3:P3"/>
    <mergeCell ref="B4:I4"/>
    <mergeCell ref="K4:M4"/>
    <mergeCell ref="B7:B9"/>
    <mergeCell ref="C7:C9"/>
    <mergeCell ref="H7:H9"/>
    <mergeCell ref="M7:P7"/>
    <mergeCell ref="M8:N8"/>
    <mergeCell ref="O8:P8"/>
    <mergeCell ref="A7:A9"/>
    <mergeCell ref="A5:B5"/>
    <mergeCell ref="I7:L7"/>
  </mergeCells>
  <pageMargins left="0.7" right="0.7" top="0.75" bottom="0.75" header="0.3" footer="0.3"/>
  <pageSetup paperSize="9" orientation="landscape" r:id="rId1"/>
  <headerFooter>
    <oddHeader>&amp;CКГБУ "Региональный центр оценки качества образования"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/>
  <dimension ref="A1:H107"/>
  <sheetViews>
    <sheetView view="pageLayout" topLeftCell="A32" zoomScaleNormal="90" workbookViewId="0">
      <selection activeCell="H44" sqref="H44"/>
    </sheetView>
  </sheetViews>
  <sheetFormatPr defaultRowHeight="12.75"/>
  <cols>
    <col min="1" max="1" width="28.85546875" style="38" customWidth="1"/>
    <col min="2" max="2" width="13.28515625" customWidth="1"/>
    <col min="3" max="3" width="10.85546875" customWidth="1"/>
    <col min="5" max="5" width="12.28515625" customWidth="1"/>
    <col min="7" max="7" width="12" customWidth="1"/>
    <col min="8" max="8" width="19.5703125" customWidth="1"/>
    <col min="9" max="9" width="31.28515625" customWidth="1"/>
    <col min="10" max="10" width="27.85546875" customWidth="1"/>
    <col min="11" max="11" width="37.7109375" customWidth="1"/>
  </cols>
  <sheetData>
    <row r="1" spans="1:8" ht="16.5" thickBot="1">
      <c r="A1" s="18"/>
      <c r="B1" s="20" t="str">
        <f>IF(NOT(ISBLANK('СПИСОК КЛАССА'!F1)),'СПИСОК КЛАССА'!F1,"")</f>
        <v/>
      </c>
      <c r="C1" s="510" t="s">
        <v>0</v>
      </c>
      <c r="D1" s="511"/>
      <c r="E1" s="19" t="str">
        <f>IF(NOT(ISBLANK('СПИСОК КЛАССА'!H1)),'СПИСОК КЛАССА'!H1,"")</f>
        <v>137022</v>
      </c>
      <c r="F1" s="510" t="s">
        <v>1</v>
      </c>
      <c r="G1" s="511"/>
      <c r="H1" s="19" t="str">
        <f>IF(NOT(ISBLANK('СПИСОК КЛАССА'!J1)),'СПИСОК КЛАССА'!J1,"")</f>
        <v>0501</v>
      </c>
    </row>
    <row r="2" spans="1:8">
      <c r="A2" s="22"/>
      <c r="B2" s="21"/>
      <c r="C2" s="21"/>
      <c r="D2" s="21"/>
      <c r="E2" s="21"/>
      <c r="F2" s="21"/>
      <c r="G2" s="21"/>
      <c r="H2" s="21"/>
    </row>
    <row r="3" spans="1:8" ht="13.5" thickBot="1">
      <c r="A3" s="22"/>
      <c r="B3" s="21"/>
      <c r="C3" s="21"/>
      <c r="D3" s="21"/>
      <c r="E3" s="21"/>
      <c r="F3" s="21"/>
      <c r="G3" s="21"/>
      <c r="H3" s="21"/>
    </row>
    <row r="4" spans="1:8" ht="16.5" thickBot="1">
      <c r="A4" s="512" t="s">
        <v>279</v>
      </c>
      <c r="B4" s="513"/>
      <c r="C4" s="513"/>
      <c r="D4" s="513"/>
      <c r="E4" s="513"/>
      <c r="F4" s="513"/>
      <c r="G4" s="513"/>
      <c r="H4" s="514"/>
    </row>
    <row r="5" spans="1:8" ht="6" customHeight="1" thickBot="1">
      <c r="A5" s="23"/>
      <c r="B5" s="24"/>
      <c r="C5" s="25"/>
      <c r="D5" s="25"/>
      <c r="E5" s="25"/>
      <c r="F5" s="25"/>
      <c r="G5" s="25"/>
      <c r="H5" s="26"/>
    </row>
    <row r="6" spans="1:8" ht="18" customHeight="1" thickBot="1">
      <c r="A6" s="23" t="s">
        <v>24</v>
      </c>
      <c r="C6" s="515" t="s">
        <v>333</v>
      </c>
      <c r="D6" s="516"/>
      <c r="E6" s="516"/>
      <c r="F6" s="516"/>
      <c r="G6" s="517"/>
      <c r="H6" s="26"/>
    </row>
    <row r="7" spans="1:8" ht="6" customHeight="1">
      <c r="A7" s="23"/>
      <c r="B7" s="24"/>
      <c r="C7" s="25"/>
      <c r="D7" s="25"/>
      <c r="E7" s="25"/>
      <c r="F7" s="25"/>
      <c r="G7" s="25"/>
      <c r="H7" s="26"/>
    </row>
    <row r="8" spans="1:8" ht="6" customHeight="1">
      <c r="A8" s="27"/>
      <c r="B8" s="28"/>
      <c r="C8" s="29"/>
      <c r="D8" s="29"/>
      <c r="E8" s="29"/>
      <c r="F8" s="29"/>
      <c r="G8" s="29"/>
      <c r="H8" s="30"/>
    </row>
    <row r="9" spans="1:8" ht="6" customHeight="1" thickBot="1">
      <c r="A9" s="23"/>
      <c r="B9" s="24"/>
      <c r="C9" s="25"/>
      <c r="D9" s="25"/>
      <c r="E9" s="25"/>
      <c r="F9" s="25"/>
      <c r="G9" s="25"/>
      <c r="H9" s="26"/>
    </row>
    <row r="10" spans="1:8" ht="20.25" customHeight="1" thickBot="1">
      <c r="A10" s="23" t="s">
        <v>25</v>
      </c>
      <c r="C10" s="515" t="s">
        <v>334</v>
      </c>
      <c r="D10" s="516"/>
      <c r="E10" s="516"/>
      <c r="F10" s="516"/>
      <c r="G10" s="517"/>
      <c r="H10" s="26"/>
    </row>
    <row r="11" spans="1:8" ht="6" customHeight="1">
      <c r="A11" s="23"/>
      <c r="B11" s="24"/>
      <c r="C11" s="16"/>
      <c r="D11" s="16"/>
      <c r="E11" s="16"/>
      <c r="F11" s="16"/>
      <c r="G11" s="25"/>
      <c r="H11" s="26"/>
    </row>
    <row r="12" spans="1:8" ht="6" customHeight="1">
      <c r="A12" s="27"/>
      <c r="B12" s="28"/>
      <c r="C12" s="29"/>
      <c r="D12" s="29"/>
      <c r="E12" s="29"/>
      <c r="F12" s="29"/>
      <c r="G12" s="29"/>
      <c r="H12" s="30"/>
    </row>
    <row r="13" spans="1:8" ht="6" customHeight="1" thickBot="1">
      <c r="A13" s="23"/>
      <c r="B13" s="24"/>
      <c r="C13" s="25"/>
      <c r="D13" s="25"/>
      <c r="E13" s="25"/>
      <c r="F13" s="25"/>
      <c r="G13" s="25"/>
      <c r="H13" s="26"/>
    </row>
    <row r="14" spans="1:8" ht="12" customHeight="1" thickBot="1">
      <c r="A14" s="23" t="s">
        <v>26</v>
      </c>
      <c r="C14" s="515" t="s">
        <v>430</v>
      </c>
      <c r="D14" s="516"/>
      <c r="E14" s="516"/>
      <c r="F14" s="516"/>
      <c r="G14" s="517"/>
      <c r="H14" s="26"/>
    </row>
    <row r="15" spans="1:8" ht="6.75" customHeight="1" thickBot="1">
      <c r="A15" s="23"/>
      <c r="B15" s="21"/>
      <c r="C15" s="31"/>
      <c r="D15" s="32"/>
      <c r="E15" s="32"/>
      <c r="F15" s="32"/>
      <c r="G15" s="32"/>
      <c r="H15" s="26"/>
    </row>
    <row r="16" spans="1:8" ht="36" customHeight="1" thickBot="1">
      <c r="A16" s="23"/>
      <c r="B16" s="21"/>
      <c r="C16" s="515"/>
      <c r="D16" s="516"/>
      <c r="E16" s="516"/>
      <c r="F16" s="516"/>
      <c r="G16" s="517"/>
      <c r="H16" s="26"/>
    </row>
    <row r="17" spans="1:8" ht="6" customHeight="1">
      <c r="A17" s="23"/>
      <c r="B17" s="24"/>
      <c r="C17" s="33"/>
      <c r="D17" s="25"/>
      <c r="E17" s="34"/>
      <c r="F17" s="16"/>
      <c r="G17" s="34"/>
      <c r="H17" s="35"/>
    </row>
    <row r="18" spans="1:8" ht="6" customHeight="1">
      <c r="A18" s="27"/>
      <c r="B18" s="28"/>
      <c r="C18" s="29"/>
      <c r="D18" s="29"/>
      <c r="E18" s="29"/>
      <c r="F18" s="29"/>
      <c r="G18" s="29"/>
      <c r="H18" s="30"/>
    </row>
    <row r="19" spans="1:8" ht="6" customHeight="1" thickBot="1">
      <c r="A19" s="23"/>
      <c r="B19" s="24"/>
      <c r="C19" s="25"/>
      <c r="D19" s="25"/>
      <c r="E19" s="34"/>
      <c r="F19" s="16"/>
      <c r="G19" s="34"/>
      <c r="H19" s="35"/>
    </row>
    <row r="20" spans="1:8" ht="14.25" customHeight="1" thickBot="1">
      <c r="A20" s="23" t="s">
        <v>27</v>
      </c>
      <c r="B20" s="25"/>
      <c r="C20" s="531">
        <v>41548</v>
      </c>
      <c r="D20" s="532"/>
      <c r="E20" s="25"/>
      <c r="F20" s="25"/>
      <c r="G20" s="25"/>
      <c r="H20" s="26"/>
    </row>
    <row r="21" spans="1:8" ht="6" customHeight="1">
      <c r="A21" s="23"/>
      <c r="B21" s="33"/>
      <c r="C21" s="24"/>
      <c r="D21" s="25"/>
      <c r="E21" s="25"/>
      <c r="F21" s="25"/>
      <c r="G21" s="25"/>
      <c r="H21" s="26"/>
    </row>
    <row r="22" spans="1:8" ht="31.5" hidden="1" customHeight="1">
      <c r="A22" s="27"/>
      <c r="B22" s="28"/>
      <c r="C22" s="29"/>
      <c r="D22" s="29"/>
      <c r="E22" s="29"/>
      <c r="F22" s="29"/>
      <c r="G22" s="29"/>
      <c r="H22" s="30"/>
    </row>
    <row r="23" spans="1:8" ht="12" customHeight="1">
      <c r="A23" s="23" t="s">
        <v>28</v>
      </c>
      <c r="B23" s="25"/>
      <c r="C23" s="24" t="s">
        <v>29</v>
      </c>
      <c r="D23" s="25"/>
      <c r="E23" s="24" t="s">
        <v>30</v>
      </c>
      <c r="F23" s="25"/>
      <c r="G23" s="25"/>
      <c r="H23" s="26"/>
    </row>
    <row r="24" spans="1:8" ht="2.25" customHeight="1" thickBot="1">
      <c r="A24" s="23"/>
      <c r="B24" s="25"/>
      <c r="C24" s="25"/>
      <c r="D24" s="25"/>
      <c r="E24" s="25"/>
      <c r="F24" s="25"/>
      <c r="G24" s="25"/>
      <c r="H24" s="26"/>
    </row>
    <row r="25" spans="1:8" ht="12" customHeight="1" thickBot="1">
      <c r="B25" s="39" t="s">
        <v>31</v>
      </c>
      <c r="C25" s="40">
        <v>0.40972222222222227</v>
      </c>
      <c r="D25" s="25"/>
      <c r="E25" s="40">
        <v>0.41666666666666669</v>
      </c>
      <c r="F25" s="25"/>
      <c r="G25" s="25"/>
      <c r="H25" s="26"/>
    </row>
    <row r="26" spans="1:8" ht="6" customHeight="1" thickBot="1">
      <c r="A26" s="41"/>
      <c r="B26" s="41"/>
      <c r="C26" s="25"/>
      <c r="D26" s="25"/>
      <c r="E26" s="25"/>
      <c r="F26" s="25"/>
      <c r="G26" s="25"/>
      <c r="H26" s="26"/>
    </row>
    <row r="27" spans="1:8" ht="12" customHeight="1" thickBot="1">
      <c r="B27" s="39" t="s">
        <v>32</v>
      </c>
      <c r="C27" s="40">
        <v>0.41666666666666669</v>
      </c>
      <c r="D27" s="25"/>
      <c r="E27" s="40">
        <v>0.44791666666666669</v>
      </c>
      <c r="F27" s="25"/>
      <c r="G27" s="25"/>
      <c r="H27" s="26"/>
    </row>
    <row r="28" spans="1:8" ht="6" customHeight="1">
      <c r="A28" s="23"/>
      <c r="B28" s="24"/>
      <c r="C28" s="25"/>
      <c r="D28" s="25"/>
      <c r="E28" s="25"/>
      <c r="F28" s="25"/>
      <c r="G28" s="25"/>
      <c r="H28" s="26"/>
    </row>
    <row r="29" spans="1:8" ht="6" customHeight="1">
      <c r="A29" s="27"/>
      <c r="B29" s="28"/>
      <c r="C29" s="29"/>
      <c r="D29" s="29"/>
      <c r="E29" s="29"/>
      <c r="F29" s="29"/>
      <c r="G29" s="29"/>
      <c r="H29" s="30"/>
    </row>
    <row r="30" spans="1:8" ht="26.25" customHeight="1">
      <c r="A30" s="520" t="s">
        <v>33</v>
      </c>
      <c r="B30" s="521"/>
      <c r="C30" s="521"/>
      <c r="D30" s="521"/>
      <c r="E30" s="521"/>
      <c r="F30" s="521"/>
      <c r="G30" s="521"/>
      <c r="H30" s="522"/>
    </row>
    <row r="31" spans="1:8" ht="7.5" customHeight="1" thickBot="1">
      <c r="A31" s="42"/>
      <c r="B31" s="43"/>
      <c r="C31" s="43"/>
      <c r="D31" s="43"/>
      <c r="E31" s="43"/>
      <c r="F31" s="43"/>
      <c r="G31" s="43"/>
      <c r="H31" s="35"/>
    </row>
    <row r="32" spans="1:8" ht="12" customHeight="1" thickBot="1">
      <c r="A32" s="23"/>
      <c r="B32" s="43"/>
      <c r="C32" s="44" t="s">
        <v>429</v>
      </c>
      <c r="E32" s="43"/>
      <c r="F32" s="43"/>
      <c r="G32" s="25"/>
      <c r="H32" s="26"/>
    </row>
    <row r="33" spans="1:8" ht="12" customHeight="1" thickBot="1">
      <c r="A33" s="23"/>
      <c r="B33" s="43"/>
      <c r="C33" s="43"/>
      <c r="D33" s="43"/>
      <c r="E33" s="43"/>
      <c r="F33" s="43"/>
      <c r="G33" s="25"/>
      <c r="H33" s="26"/>
    </row>
    <row r="34" spans="1:8" ht="71.25" customHeight="1" thickBot="1">
      <c r="A34" s="23"/>
      <c r="B34" s="45" t="s">
        <v>34</v>
      </c>
      <c r="C34" s="523" t="s">
        <v>434</v>
      </c>
      <c r="D34" s="524"/>
      <c r="E34" s="524"/>
      <c r="F34" s="524"/>
      <c r="G34" s="525"/>
      <c r="H34" s="26"/>
    </row>
    <row r="35" spans="1:8" ht="6" customHeight="1">
      <c r="A35" s="23"/>
      <c r="B35" s="24"/>
      <c r="C35" s="25"/>
      <c r="D35" s="25"/>
      <c r="E35" s="25"/>
      <c r="F35" s="25"/>
      <c r="G35" s="25"/>
      <c r="H35" s="26"/>
    </row>
    <row r="36" spans="1:8" ht="6" customHeight="1">
      <c r="A36" s="27"/>
      <c r="B36" s="28"/>
      <c r="C36" s="29"/>
      <c r="D36" s="29"/>
      <c r="E36" s="29"/>
      <c r="F36" s="29"/>
      <c r="G36" s="29"/>
      <c r="H36" s="30"/>
    </row>
    <row r="37" spans="1:8" ht="13.5" customHeight="1">
      <c r="A37" s="520" t="s">
        <v>35</v>
      </c>
      <c r="B37" s="526"/>
      <c r="C37" s="526"/>
      <c r="D37" s="526"/>
      <c r="E37" s="526"/>
      <c r="F37" s="526"/>
      <c r="G37" s="526"/>
      <c r="H37" s="527"/>
    </row>
    <row r="38" spans="1:8" ht="8.25" customHeight="1" thickBot="1">
      <c r="A38" s="42"/>
      <c r="B38" s="43"/>
      <c r="C38" s="43"/>
      <c r="D38" s="43"/>
      <c r="E38" s="43"/>
      <c r="F38" s="43"/>
      <c r="G38" s="43"/>
      <c r="H38" s="35"/>
    </row>
    <row r="39" spans="1:8" ht="57" customHeight="1" thickBot="1">
      <c r="A39" s="23"/>
      <c r="B39" s="528" t="s">
        <v>435</v>
      </c>
      <c r="C39" s="529"/>
      <c r="D39" s="529"/>
      <c r="E39" s="529"/>
      <c r="F39" s="530"/>
      <c r="G39" s="25"/>
      <c r="H39" s="26"/>
    </row>
    <row r="40" spans="1:8" ht="6" customHeight="1">
      <c r="A40" s="23"/>
      <c r="B40" s="24"/>
      <c r="C40" s="25"/>
      <c r="D40" s="25"/>
      <c r="E40" s="25"/>
      <c r="F40" s="25"/>
      <c r="G40" s="25"/>
      <c r="H40" s="26"/>
    </row>
    <row r="41" spans="1:8" ht="6" customHeight="1">
      <c r="A41" s="27"/>
      <c r="B41" s="28"/>
      <c r="C41" s="29"/>
      <c r="D41" s="29"/>
      <c r="E41" s="29"/>
      <c r="F41" s="29"/>
      <c r="G41" s="29"/>
      <c r="H41" s="30"/>
    </row>
    <row r="42" spans="1:8" ht="13.5" customHeight="1">
      <c r="A42" s="520" t="s">
        <v>142</v>
      </c>
      <c r="B42" s="526"/>
      <c r="C42" s="526"/>
      <c r="D42" s="526"/>
      <c r="E42" s="526"/>
      <c r="F42" s="526"/>
      <c r="G42" s="526"/>
      <c r="H42" s="527"/>
    </row>
    <row r="43" spans="1:8" ht="8.25" customHeight="1" thickBot="1">
      <c r="A43" s="42"/>
      <c r="B43" s="43"/>
      <c r="C43" s="43"/>
      <c r="D43" s="43"/>
      <c r="E43" s="43"/>
      <c r="F43" s="43"/>
      <c r="G43" s="43"/>
      <c r="H43" s="35"/>
    </row>
    <row r="44" spans="1:8" ht="134.25" customHeight="1" thickBot="1">
      <c r="A44" s="23"/>
      <c r="B44" s="528" t="s">
        <v>436</v>
      </c>
      <c r="C44" s="529"/>
      <c r="D44" s="529"/>
      <c r="E44" s="529"/>
      <c r="F44" s="530"/>
      <c r="G44" s="25"/>
      <c r="H44" s="26"/>
    </row>
    <row r="45" spans="1:8" ht="6" customHeight="1">
      <c r="A45" s="23"/>
      <c r="B45" s="24"/>
      <c r="C45" s="25"/>
      <c r="D45" s="25"/>
      <c r="E45" s="25"/>
      <c r="F45" s="25"/>
      <c r="G45" s="25"/>
      <c r="H45" s="26"/>
    </row>
    <row r="46" spans="1:8" ht="6" customHeight="1" thickBot="1">
      <c r="A46" s="27"/>
      <c r="B46" s="28"/>
      <c r="C46" s="29"/>
      <c r="D46" s="29"/>
      <c r="E46" s="29"/>
      <c r="F46" s="29"/>
      <c r="G46" s="29"/>
      <c r="H46" s="30"/>
    </row>
    <row r="47" spans="1:8" ht="21" customHeight="1">
      <c r="A47" s="518" t="s">
        <v>36</v>
      </c>
      <c r="B47" s="519"/>
      <c r="C47" s="519"/>
      <c r="D47" s="519"/>
      <c r="E47" s="519"/>
      <c r="F47" s="519"/>
      <c r="G47" s="519"/>
      <c r="H47" s="519"/>
    </row>
    <row r="48" spans="1:8">
      <c r="A48" s="22"/>
      <c r="B48" s="21"/>
      <c r="C48" s="21"/>
      <c r="D48" s="21"/>
      <c r="E48" s="21"/>
      <c r="F48" s="21"/>
      <c r="G48" s="21"/>
      <c r="H48" s="21"/>
    </row>
    <row r="49" spans="1:8">
      <c r="A49" s="22"/>
      <c r="B49" s="21"/>
      <c r="C49" s="21"/>
      <c r="D49" s="21"/>
      <c r="E49" s="21"/>
      <c r="F49" s="21"/>
      <c r="G49" s="21"/>
      <c r="H49" s="21"/>
    </row>
    <row r="50" spans="1:8">
      <c r="A50"/>
    </row>
    <row r="51" spans="1:8">
      <c r="A51"/>
    </row>
    <row r="52" spans="1:8">
      <c r="A52"/>
    </row>
    <row r="53" spans="1:8">
      <c r="A53"/>
    </row>
    <row r="54" spans="1:8">
      <c r="A54"/>
    </row>
    <row r="55" spans="1:8">
      <c r="A55"/>
    </row>
    <row r="56" spans="1:8">
      <c r="A56"/>
    </row>
    <row r="57" spans="1:8">
      <c r="A57"/>
    </row>
    <row r="58" spans="1:8">
      <c r="A58"/>
    </row>
    <row r="59" spans="1:8">
      <c r="A59"/>
    </row>
    <row r="60" spans="1:8" hidden="1">
      <c r="A60"/>
      <c r="B60" t="s">
        <v>38</v>
      </c>
      <c r="C60" t="s">
        <v>39</v>
      </c>
      <c r="D60" t="s">
        <v>37</v>
      </c>
      <c r="E60" t="s">
        <v>40</v>
      </c>
      <c r="F60" t="s">
        <v>41</v>
      </c>
    </row>
    <row r="61" spans="1:8" hidden="1">
      <c r="A61"/>
      <c r="B61" t="s">
        <v>42</v>
      </c>
      <c r="C61" t="s">
        <v>43</v>
      </c>
      <c r="D61" t="s">
        <v>44</v>
      </c>
      <c r="E61" t="s">
        <v>45</v>
      </c>
      <c r="F61" t="s">
        <v>46</v>
      </c>
    </row>
    <row r="62" spans="1:8" hidden="1">
      <c r="A62"/>
      <c r="B62" t="s">
        <v>47</v>
      </c>
      <c r="C62" t="s">
        <v>48</v>
      </c>
      <c r="D62" t="s">
        <v>49</v>
      </c>
      <c r="E62" t="s">
        <v>50</v>
      </c>
      <c r="F62" t="s">
        <v>51</v>
      </c>
    </row>
    <row r="63" spans="1:8" hidden="1">
      <c r="A63"/>
      <c r="B63" t="s">
        <v>52</v>
      </c>
      <c r="C63" t="s">
        <v>53</v>
      </c>
      <c r="D63" t="s">
        <v>54</v>
      </c>
      <c r="E63" t="s">
        <v>55</v>
      </c>
      <c r="F63" t="s">
        <v>56</v>
      </c>
    </row>
    <row r="64" spans="1:8" hidden="1">
      <c r="A64"/>
    </row>
    <row r="65" spans="1:6" hidden="1">
      <c r="A65"/>
    </row>
    <row r="66" spans="1:6" hidden="1">
      <c r="A66"/>
      <c r="B66" t="s">
        <v>57</v>
      </c>
      <c r="D66" t="s">
        <v>58</v>
      </c>
      <c r="E66" t="s">
        <v>59</v>
      </c>
      <c r="F66" t="s">
        <v>60</v>
      </c>
    </row>
    <row r="67" spans="1:6" hidden="1">
      <c r="A67"/>
      <c r="B67" t="s">
        <v>61</v>
      </c>
      <c r="D67" t="s">
        <v>62</v>
      </c>
      <c r="E67" t="s">
        <v>63</v>
      </c>
      <c r="F67" t="s">
        <v>64</v>
      </c>
    </row>
    <row r="68" spans="1:6" hidden="1">
      <c r="A68"/>
    </row>
    <row r="69" spans="1:6">
      <c r="A69"/>
    </row>
    <row r="70" spans="1:6">
      <c r="A70"/>
    </row>
    <row r="71" spans="1:6">
      <c r="A71"/>
    </row>
    <row r="72" spans="1:6">
      <c r="A72"/>
    </row>
    <row r="73" spans="1:6">
      <c r="A73"/>
    </row>
    <row r="74" spans="1:6">
      <c r="A74"/>
    </row>
    <row r="75" spans="1:6">
      <c r="A75"/>
    </row>
    <row r="76" spans="1:6">
      <c r="A76"/>
    </row>
    <row r="77" spans="1:6">
      <c r="A77"/>
    </row>
    <row r="78" spans="1:6">
      <c r="A78"/>
    </row>
    <row r="79" spans="1:6">
      <c r="A79"/>
    </row>
    <row r="80" spans="1:6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</sheetData>
  <sheetProtection selectLockedCells="1"/>
  <protectedRanges>
    <protectedRange sqref="C32 C34 B39 B44" name="Диапазон9"/>
    <protectedRange sqref="C25 E25 C27 E27" name="Диапазон8"/>
    <protectedRange sqref="C20" name="Диапазон7"/>
    <protectedRange sqref="C16" name="Диапазон6"/>
    <protectedRange sqref="C14" name="Диапазон5"/>
    <protectedRange sqref="C10" name="Диапазон4"/>
    <protectedRange sqref="C6" name="Диапазон3"/>
  </protectedRanges>
  <customSheetViews>
    <customSheetView guid="{BFE542F4-8A0C-4C42-A5CA-C7B0ACF2717E}" scale="85" hiddenRows="1">
      <selection activeCell="AA6" sqref="AA6"/>
      <pageMargins left="0.35433070866141736" right="0.35433070866141736" top="0.97395833333333337" bottom="0.39370078740157483" header="0.51181102362204722" footer="0.51181102362204722"/>
      <pageSetup paperSize="9" scale="85" fitToWidth="0" fitToHeight="0" orientation="portrait" verticalDpi="0" r:id="rId1"/>
      <headerFooter alignWithMargins="0">
        <oddHeader>&amp;CКГБУ "Региональный центр оценки качества образования"</oddHeader>
      </headerFooter>
    </customSheetView>
  </customSheetViews>
  <mergeCells count="15">
    <mergeCell ref="C14:G14"/>
    <mergeCell ref="C16:G16"/>
    <mergeCell ref="C20:D20"/>
    <mergeCell ref="A42:H42"/>
    <mergeCell ref="B44:F44"/>
    <mergeCell ref="A47:H47"/>
    <mergeCell ref="A30:H30"/>
    <mergeCell ref="C34:G34"/>
    <mergeCell ref="A37:H37"/>
    <mergeCell ref="B39:F39"/>
    <mergeCell ref="C1:D1"/>
    <mergeCell ref="F1:G1"/>
    <mergeCell ref="A4:H4"/>
    <mergeCell ref="C6:G6"/>
    <mergeCell ref="C10:G10"/>
  </mergeCells>
  <phoneticPr fontId="0" type="noConversion"/>
  <conditionalFormatting sqref="C6 C10 C14 B1:C1 H1 E1:F1 E27 B39:F39 C32 C20 C25 C27 E25 B44:F44">
    <cfRule type="expression" dxfId="6" priority="1" stopIfTrue="1">
      <formula>ISBLANK(B1)</formula>
    </cfRule>
  </conditionalFormatting>
  <conditionalFormatting sqref="C16:G16">
    <cfRule type="expression" dxfId="5" priority="2" stopIfTrue="1">
      <formula>AND(ISBLANK(C16),C14="Другое. Запишите, пожалуйста:")</formula>
    </cfRule>
  </conditionalFormatting>
  <conditionalFormatting sqref="C34:G34">
    <cfRule type="expression" dxfId="4" priority="3" stopIfTrue="1">
      <formula>AND(ISBLANK(C34),C32="ДА")</formula>
    </cfRule>
  </conditionalFormatting>
  <dataValidations count="16">
    <dataValidation type="whole" allowBlank="1" showInputMessage="1" showErrorMessage="1" promptTitle="Число учащихся в классе" prompt="Введите количество учащихся в классе" sqref="B17">
      <formula1>1</formula1>
      <formula2>40</formula2>
    </dataValidation>
    <dataValidation allowBlank="1" showInputMessage="1" showErrorMessage="1" promptTitle="ФИО школьного координатора" prompt=" " sqref="C6:G6"/>
    <dataValidation allowBlank="1" showInputMessage="1" showErrorMessage="1" promptTitle="ФИО проводящего тестирование" prompt="ФИО лица, проводящего тестирование" sqref="C10:G10"/>
    <dataValidation type="list" allowBlank="1" showInputMessage="1" showErrorMessage="1" promptTitle="Статус проводящего тестирование" prompt=" " sqref="C14:G14">
      <formula1>"Учитель (не работающий с тестируемыми),Учитель (ведущий занятия с тестируемыми),Другое. Запишите пожалуйста:"</formula1>
    </dataValidation>
    <dataValidation allowBlank="1" showErrorMessage="1" sqref="A15:B16 C15:G15"/>
    <dataValidation allowBlank="1" showInputMessage="1" showErrorMessage="1" promptTitle="Другой статус" prompt=" " sqref="C16:G16"/>
    <dataValidation type="date" allowBlank="1" showInputMessage="1" showErrorMessage="1" promptTitle="Дата проведения тестирования" prompt="Введите дату в формате ДД.ММ.ГГ (например, 21.04.13)" sqref="C20:D20">
      <formula1>41365</formula1>
      <formula2>41577</formula2>
    </dataValidation>
    <dataValidation allowBlank="1" showInputMessage="1" showErrorMessage="1" promptTitle="Начало" prompt="Введите время начала организационной части в формате ЧЧ:ММ (например, 9:20)" sqref="C25"/>
    <dataValidation allowBlank="1" showInputMessage="1" showErrorMessage="1" promptTitle="Начало" prompt="Введите время начала выполнения работы в формате ЧЧ:ММ (например, 9:20)" sqref="C27"/>
    <dataValidation allowBlank="1" showInputMessage="1" showErrorMessage="1" promptTitle="Конец" prompt="Введите время окончания организационной части в формате ЧЧ:ММ (например, 9:20)" sqref="E25"/>
    <dataValidation allowBlank="1" showInputMessage="1" showErrorMessage="1" promptTitle="Конец" prompt="Введите время окончания выполнения работы в формате ЧЧ:ММ (например, 9:20)" sqref="E27"/>
    <dataValidation type="list" allowBlank="1" showInputMessage="1" showErrorMessage="1" promptTitle=" " prompt="Выберите один из вариантов ответа" sqref="C32">
      <formula1>"НЕТ,ДА"</formula1>
    </dataValidation>
    <dataValidation allowBlank="1" showInputMessage="1" showErrorMessage="1" promptTitle="Пояснение" prompt="Если у учащихся возникли проблемы, поясните" sqref="C34:G34"/>
    <dataValidation allowBlank="1" showInputMessage="1" showErrorMessage="1" promptTitle="Номера вариантов и заданий" prompt=" " sqref="B39:F39"/>
    <dataValidation allowBlank="1" showInputMessage="1" showErrorMessage="1" promptTitle="Предложения" prompt=" " sqref="B44:F44"/>
    <dataValidation type="list" allowBlank="1" showInputMessage="1" showErrorMessage="1" sqref="B7 B35 B45 B40 B11">
      <formula1>#REF!</formula1>
    </dataValidation>
  </dataValidations>
  <pageMargins left="0.35433070866141736" right="0.35433070866141736" top="0.97395833333333337" bottom="0.39370078740157483" header="0.51181102362204722" footer="0.51181102362204722"/>
  <pageSetup paperSize="9" scale="85" fitToWidth="0" fitToHeight="0" orientation="portrait" r:id="rId2"/>
  <headerFooter alignWithMargins="0">
    <oddHeader>&amp;CКГБУ "Региональный центр оценки качества образования"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7"/>
  <dimension ref="A1:O95"/>
  <sheetViews>
    <sheetView view="pageLayout" topLeftCell="A22" workbookViewId="0">
      <selection activeCell="E46" sqref="E46"/>
    </sheetView>
  </sheetViews>
  <sheetFormatPr defaultRowHeight="12.75"/>
  <cols>
    <col min="1" max="1" width="28.85546875" style="38" customWidth="1"/>
    <col min="2" max="2" width="17.85546875" customWidth="1"/>
    <col min="3" max="3" width="10.85546875" customWidth="1"/>
    <col min="4" max="4" width="10" customWidth="1"/>
    <col min="5" max="5" width="10.7109375" customWidth="1"/>
    <col min="7" max="7" width="12" customWidth="1"/>
    <col min="8" max="8" width="14.85546875" customWidth="1"/>
    <col min="10" max="10" width="13.42578125" customWidth="1"/>
    <col min="16" max="16" width="12.42578125" customWidth="1"/>
    <col min="17" max="17" width="58.140625" customWidth="1"/>
    <col min="18" max="18" width="44.5703125" customWidth="1"/>
    <col min="19" max="19" width="31.28515625" customWidth="1"/>
    <col min="20" max="20" width="27.85546875" customWidth="1"/>
    <col min="21" max="21" width="37.7109375" customWidth="1"/>
  </cols>
  <sheetData>
    <row r="1" spans="1:8" ht="6.75" customHeight="1" thickBot="1">
      <c r="A1" s="127"/>
      <c r="B1" s="118"/>
      <c r="C1" s="118"/>
      <c r="D1" s="118"/>
      <c r="E1" s="118"/>
      <c r="F1" s="118"/>
      <c r="G1" s="118"/>
      <c r="H1" s="118"/>
    </row>
    <row r="2" spans="1:8" ht="15.75" customHeight="1" thickBot="1">
      <c r="A2" s="55"/>
      <c r="B2" s="20"/>
      <c r="C2" s="510" t="s">
        <v>0</v>
      </c>
      <c r="D2" s="511"/>
      <c r="E2" s="19" t="str">
        <f>IF(NOT(ISBLANK('СПИСОК КЛАССА'!H1)),'СПИСОК КЛАССА'!H1,"")</f>
        <v>137022</v>
      </c>
      <c r="F2" s="510" t="s">
        <v>1</v>
      </c>
      <c r="G2" s="511"/>
      <c r="H2" s="19" t="str">
        <f>IF(NOT(ISBLANK('СПИСОК КЛАССА'!J1)),'СПИСОК КЛАССА'!J1,"")</f>
        <v>0501</v>
      </c>
    </row>
    <row r="3" spans="1:8" ht="7.5" customHeight="1">
      <c r="A3" s="22"/>
      <c r="B3" s="21"/>
      <c r="C3" s="21"/>
      <c r="D3" s="21"/>
      <c r="E3" s="21"/>
      <c r="F3" s="21"/>
      <c r="G3" s="21"/>
      <c r="H3" s="21"/>
    </row>
    <row r="4" spans="1:8" ht="6.75" customHeight="1" thickBot="1">
      <c r="A4" s="22"/>
      <c r="B4" s="21"/>
      <c r="C4" s="21"/>
      <c r="D4" s="21"/>
      <c r="E4" s="21"/>
      <c r="F4" s="21"/>
      <c r="G4" s="21"/>
      <c r="H4" s="21"/>
    </row>
    <row r="5" spans="1:8" ht="16.5" thickBot="1">
      <c r="A5" s="512" t="s">
        <v>65</v>
      </c>
      <c r="B5" s="513"/>
      <c r="C5" s="513"/>
      <c r="D5" s="513"/>
      <c r="E5" s="513"/>
      <c r="F5" s="513"/>
      <c r="G5" s="513"/>
      <c r="H5" s="514"/>
    </row>
    <row r="6" spans="1:8" ht="9" customHeight="1" thickBot="1">
      <c r="A6" s="23"/>
      <c r="B6" s="25"/>
      <c r="C6" s="25"/>
      <c r="D6" s="25"/>
      <c r="E6" s="25"/>
      <c r="F6" s="25"/>
      <c r="G6" s="25"/>
      <c r="H6" s="26"/>
    </row>
    <row r="7" spans="1:8" ht="16.5" thickBot="1">
      <c r="A7" s="23" t="s">
        <v>66</v>
      </c>
      <c r="B7" s="19" t="str">
        <f>IF(NOT(ISBLANK('СПИСОК КЛАССА'!J1)),'СПИСОК КЛАССА'!J1,"")</f>
        <v>0501</v>
      </c>
      <c r="C7" s="46"/>
      <c r="D7" s="33"/>
      <c r="E7" s="25"/>
      <c r="F7" s="25"/>
      <c r="G7" s="25"/>
      <c r="H7" s="26"/>
    </row>
    <row r="8" spans="1:8" ht="8.25" customHeight="1">
      <c r="A8" s="23"/>
      <c r="B8" s="47"/>
      <c r="C8" s="25"/>
      <c r="D8" s="25"/>
      <c r="E8" s="25"/>
      <c r="F8" s="25"/>
      <c r="G8" s="25"/>
      <c r="H8" s="26"/>
    </row>
    <row r="9" spans="1:8" ht="6" customHeight="1">
      <c r="A9" s="27"/>
      <c r="B9" s="28"/>
      <c r="C9" s="29"/>
      <c r="D9" s="29"/>
      <c r="E9" s="29"/>
      <c r="F9" s="29"/>
      <c r="G9" s="29"/>
      <c r="H9" s="30"/>
    </row>
    <row r="10" spans="1:8" ht="6" customHeight="1" thickBot="1">
      <c r="A10" s="23"/>
      <c r="B10" s="24"/>
      <c r="C10" s="25"/>
      <c r="D10" s="25"/>
      <c r="E10" s="25"/>
      <c r="F10" s="25"/>
      <c r="G10" s="25"/>
      <c r="H10" s="26"/>
    </row>
    <row r="11" spans="1:8" ht="15.75" customHeight="1" thickBot="1">
      <c r="A11" s="23" t="s">
        <v>67</v>
      </c>
      <c r="B11" s="44" t="s">
        <v>431</v>
      </c>
      <c r="C11" s="25"/>
      <c r="D11" s="25"/>
      <c r="E11" s="25"/>
      <c r="F11" s="25"/>
      <c r="G11" s="25"/>
      <c r="H11" s="26"/>
    </row>
    <row r="12" spans="1:8" ht="6.75" customHeight="1">
      <c r="A12" s="23"/>
      <c r="B12" s="24"/>
      <c r="C12" s="25"/>
      <c r="D12" s="25"/>
      <c r="E12" s="25"/>
      <c r="F12" s="25"/>
      <c r="G12" s="25"/>
      <c r="H12" s="26"/>
    </row>
    <row r="13" spans="1:8" ht="6" customHeight="1">
      <c r="A13" s="27"/>
      <c r="B13" s="28"/>
      <c r="C13" s="29"/>
      <c r="D13" s="29"/>
      <c r="E13" s="29"/>
      <c r="F13" s="29"/>
      <c r="G13" s="29"/>
      <c r="H13" s="30"/>
    </row>
    <row r="14" spans="1:8" ht="6.75" customHeight="1" thickBot="1">
      <c r="A14" s="23"/>
      <c r="B14" s="24"/>
      <c r="C14" s="25"/>
      <c r="D14" s="25"/>
      <c r="E14" s="25"/>
      <c r="F14" s="25"/>
      <c r="G14" s="25"/>
      <c r="H14" s="26"/>
    </row>
    <row r="15" spans="1:8" ht="16.5" customHeight="1" thickBot="1">
      <c r="A15" s="23" t="s">
        <v>68</v>
      </c>
      <c r="B15" s="515" t="s">
        <v>96</v>
      </c>
      <c r="C15" s="533"/>
      <c r="D15" s="533"/>
      <c r="E15" s="516"/>
      <c r="F15" s="517"/>
      <c r="G15" s="25"/>
      <c r="H15" s="26"/>
    </row>
    <row r="16" spans="1:8" ht="6.75" customHeight="1">
      <c r="A16" s="23"/>
      <c r="B16" s="24"/>
      <c r="C16" s="16"/>
      <c r="D16" s="16"/>
      <c r="E16" s="16"/>
      <c r="F16" s="16"/>
      <c r="G16" s="25"/>
      <c r="H16" s="26"/>
    </row>
    <row r="17" spans="1:15" ht="6" customHeight="1">
      <c r="A17" s="27"/>
      <c r="B17" s="28"/>
      <c r="C17" s="29"/>
      <c r="D17" s="29"/>
      <c r="E17" s="29"/>
      <c r="F17" s="29"/>
      <c r="G17" s="29"/>
      <c r="H17" s="30"/>
    </row>
    <row r="18" spans="1:15" ht="7.5" customHeight="1" thickBot="1">
      <c r="A18" s="23"/>
      <c r="B18" s="24"/>
      <c r="C18" s="25"/>
      <c r="D18" s="25"/>
      <c r="E18" s="25"/>
      <c r="F18" s="25"/>
      <c r="G18" s="25"/>
      <c r="H18" s="26"/>
    </row>
    <row r="19" spans="1:15" ht="14.25" customHeight="1" thickBot="1">
      <c r="A19" s="23" t="s">
        <v>69</v>
      </c>
      <c r="B19" s="44">
        <v>45</v>
      </c>
      <c r="C19" s="25" t="s">
        <v>70</v>
      </c>
      <c r="D19" s="25"/>
      <c r="E19" s="34"/>
      <c r="F19" s="16"/>
      <c r="G19" s="34"/>
      <c r="H19" s="35"/>
      <c r="I19" s="37"/>
      <c r="J19" s="37"/>
      <c r="K19" s="37"/>
      <c r="L19" s="37"/>
      <c r="M19" s="37"/>
      <c r="N19" s="37"/>
      <c r="O19" s="37"/>
    </row>
    <row r="20" spans="1:15" ht="6.75" customHeight="1">
      <c r="A20" s="23"/>
      <c r="B20" s="24"/>
      <c r="C20" s="33"/>
      <c r="D20" s="25"/>
      <c r="E20" s="34"/>
      <c r="F20" s="16"/>
      <c r="G20" s="34"/>
      <c r="H20" s="35"/>
      <c r="I20" s="37"/>
      <c r="J20" s="37"/>
      <c r="K20" s="37"/>
      <c r="L20" s="37"/>
      <c r="M20" s="37"/>
      <c r="N20" s="37"/>
      <c r="O20" s="37"/>
    </row>
    <row r="21" spans="1:15" ht="6" customHeight="1">
      <c r="A21" s="27"/>
      <c r="B21" s="28"/>
      <c r="C21" s="29"/>
      <c r="D21" s="29"/>
      <c r="E21" s="29"/>
      <c r="F21" s="29"/>
      <c r="G21" s="29"/>
      <c r="H21" s="30"/>
    </row>
    <row r="22" spans="1:15" ht="7.5" customHeight="1" thickBot="1">
      <c r="A22" s="23"/>
      <c r="B22" s="24"/>
      <c r="C22" s="25"/>
      <c r="D22" s="25"/>
      <c r="E22" s="25"/>
      <c r="F22" s="25"/>
      <c r="G22" s="25"/>
      <c r="H22" s="26"/>
    </row>
    <row r="23" spans="1:15" ht="16.5" customHeight="1" thickBot="1">
      <c r="A23" s="23" t="s">
        <v>71</v>
      </c>
      <c r="B23" s="44">
        <v>29</v>
      </c>
      <c r="C23" s="25"/>
      <c r="D23" s="25"/>
      <c r="E23" s="34"/>
      <c r="F23" s="16"/>
      <c r="G23" s="34"/>
      <c r="H23" s="35"/>
      <c r="I23" s="37"/>
      <c r="J23" s="37"/>
      <c r="K23" s="37"/>
      <c r="L23" s="37"/>
      <c r="M23" s="37"/>
      <c r="N23" s="37"/>
      <c r="O23" s="37"/>
    </row>
    <row r="24" spans="1:15" ht="6.75" customHeight="1">
      <c r="A24" s="23"/>
      <c r="B24" s="24"/>
      <c r="C24" s="33"/>
      <c r="D24" s="25"/>
      <c r="E24" s="34"/>
      <c r="F24" s="16"/>
      <c r="G24" s="34"/>
      <c r="H24" s="35"/>
      <c r="I24" s="37"/>
      <c r="J24" s="37"/>
      <c r="K24" s="37"/>
      <c r="L24" s="37"/>
      <c r="M24" s="37"/>
      <c r="N24" s="37"/>
      <c r="O24" s="37"/>
    </row>
    <row r="25" spans="1:15" ht="6" customHeight="1">
      <c r="A25" s="27"/>
      <c r="B25" s="28"/>
      <c r="C25" s="29"/>
      <c r="D25" s="29"/>
      <c r="E25" s="29"/>
      <c r="F25" s="29"/>
      <c r="G25" s="29"/>
      <c r="H25" s="30"/>
    </row>
    <row r="26" spans="1:15" ht="8.25" customHeight="1" thickBot="1">
      <c r="A26" s="23"/>
      <c r="B26" s="24"/>
      <c r="C26" s="25"/>
      <c r="D26" s="25"/>
      <c r="E26" s="34"/>
      <c r="F26" s="16"/>
      <c r="G26" s="34"/>
      <c r="H26" s="35"/>
      <c r="I26" s="37"/>
      <c r="J26" s="37"/>
      <c r="K26" s="37"/>
      <c r="L26" s="37"/>
      <c r="M26" s="37"/>
      <c r="N26" s="37"/>
      <c r="O26" s="37"/>
    </row>
    <row r="27" spans="1:15" ht="14.25" customHeight="1" thickBot="1">
      <c r="A27" s="23" t="s">
        <v>191</v>
      </c>
      <c r="B27" s="25"/>
      <c r="C27" s="44">
        <v>3</v>
      </c>
      <c r="D27" s="25"/>
      <c r="E27" s="25"/>
      <c r="F27" s="25"/>
      <c r="G27" s="25"/>
      <c r="H27" s="26"/>
    </row>
    <row r="28" spans="1:15" ht="7.5" customHeight="1">
      <c r="A28" s="23"/>
      <c r="B28" s="33"/>
      <c r="C28" s="24"/>
      <c r="D28" s="25"/>
      <c r="E28" s="25"/>
      <c r="F28" s="25"/>
      <c r="G28" s="25"/>
      <c r="H28" s="26"/>
    </row>
    <row r="29" spans="1:15" ht="6" customHeight="1">
      <c r="A29" s="27"/>
      <c r="B29" s="28"/>
      <c r="C29" s="29"/>
      <c r="D29" s="29"/>
      <c r="E29" s="29"/>
      <c r="F29" s="29"/>
      <c r="G29" s="29"/>
      <c r="H29" s="30"/>
    </row>
    <row r="30" spans="1:15">
      <c r="A30" s="23" t="s">
        <v>192</v>
      </c>
      <c r="B30" s="25"/>
      <c r="C30" s="25"/>
      <c r="D30" s="25"/>
      <c r="E30" s="25"/>
      <c r="F30" s="25"/>
      <c r="G30" s="25"/>
      <c r="H30" s="26"/>
    </row>
    <row r="31" spans="1:15" ht="5.25" customHeight="1" thickBot="1">
      <c r="A31" s="23"/>
      <c r="B31" s="25"/>
      <c r="C31" s="25"/>
      <c r="D31" s="25"/>
      <c r="E31" s="25"/>
      <c r="F31" s="25"/>
      <c r="G31" s="25"/>
      <c r="H31" s="26"/>
    </row>
    <row r="32" spans="1:15" ht="18.75" customHeight="1" thickBot="1">
      <c r="A32" s="23"/>
      <c r="B32" s="515" t="s">
        <v>432</v>
      </c>
      <c r="C32" s="516"/>
      <c r="D32" s="516"/>
      <c r="E32" s="516"/>
      <c r="F32" s="517"/>
      <c r="G32" s="25"/>
      <c r="H32" s="26"/>
    </row>
    <row r="33" spans="1:8" ht="6" customHeight="1">
      <c r="A33" s="23"/>
      <c r="B33" s="24"/>
      <c r="C33" s="25"/>
      <c r="D33" s="25"/>
      <c r="E33" s="25"/>
      <c r="F33" s="25"/>
      <c r="G33" s="25"/>
      <c r="H33" s="26"/>
    </row>
    <row r="34" spans="1:8" ht="6" customHeight="1">
      <c r="A34" s="27"/>
      <c r="B34" s="28"/>
      <c r="C34" s="29"/>
      <c r="D34" s="29"/>
      <c r="E34" s="29"/>
      <c r="F34" s="29"/>
      <c r="G34" s="29"/>
      <c r="H34" s="30"/>
    </row>
    <row r="35" spans="1:8" ht="6" customHeight="1" thickBot="1">
      <c r="A35" s="23"/>
      <c r="B35" s="24"/>
      <c r="C35" s="25"/>
      <c r="D35" s="25"/>
      <c r="E35" s="25"/>
      <c r="F35" s="25"/>
      <c r="G35" s="25"/>
      <c r="H35" s="26"/>
    </row>
    <row r="36" spans="1:8" ht="13.5" thickBot="1">
      <c r="A36" s="23" t="s">
        <v>74</v>
      </c>
      <c r="B36" s="44">
        <v>39</v>
      </c>
      <c r="C36" s="25" t="s">
        <v>72</v>
      </c>
      <c r="D36" s="25"/>
      <c r="E36" s="25"/>
      <c r="F36" s="25"/>
      <c r="G36" s="25"/>
      <c r="H36" s="26"/>
    </row>
    <row r="37" spans="1:8" ht="6" customHeight="1">
      <c r="A37" s="23"/>
      <c r="B37" s="24"/>
      <c r="C37" s="25"/>
      <c r="D37" s="25"/>
      <c r="E37" s="25"/>
      <c r="F37" s="25"/>
      <c r="G37" s="25"/>
      <c r="H37" s="26"/>
    </row>
    <row r="38" spans="1:8" ht="6" customHeight="1">
      <c r="A38" s="27"/>
      <c r="B38" s="28"/>
      <c r="C38" s="29"/>
      <c r="D38" s="29"/>
      <c r="E38" s="29"/>
      <c r="F38" s="29"/>
      <c r="G38" s="29"/>
      <c r="H38" s="30"/>
    </row>
    <row r="39" spans="1:8" ht="6" customHeight="1" thickBot="1">
      <c r="A39" s="23"/>
      <c r="B39" s="24"/>
      <c r="C39" s="25"/>
      <c r="D39" s="25"/>
      <c r="E39" s="25"/>
      <c r="F39" s="25"/>
      <c r="G39" s="25"/>
      <c r="H39" s="26"/>
    </row>
    <row r="40" spans="1:8" ht="13.5" thickBot="1">
      <c r="A40" s="23" t="s">
        <v>77</v>
      </c>
      <c r="B40" s="44" t="s">
        <v>437</v>
      </c>
      <c r="C40" s="25"/>
      <c r="D40" s="25"/>
      <c r="E40" s="25"/>
      <c r="F40" s="25"/>
      <c r="G40" s="25"/>
      <c r="H40" s="26"/>
    </row>
    <row r="41" spans="1:8" ht="6" customHeight="1">
      <c r="A41" s="23"/>
      <c r="B41" s="24"/>
      <c r="C41" s="25"/>
      <c r="D41" s="25"/>
      <c r="E41" s="25"/>
      <c r="F41" s="25"/>
      <c r="G41" s="25"/>
      <c r="H41" s="26"/>
    </row>
    <row r="42" spans="1:8" ht="6" customHeight="1">
      <c r="A42" s="27"/>
      <c r="B42" s="28"/>
      <c r="C42" s="29"/>
      <c r="D42" s="29"/>
      <c r="E42" s="29"/>
      <c r="F42" s="29"/>
      <c r="G42" s="29"/>
      <c r="H42" s="30"/>
    </row>
    <row r="43" spans="1:8" ht="6.75" customHeight="1" thickBot="1">
      <c r="A43" s="23"/>
      <c r="B43" s="24"/>
      <c r="C43" s="25"/>
      <c r="D43" s="25"/>
      <c r="E43" s="25"/>
      <c r="F43" s="25"/>
      <c r="G43" s="25"/>
      <c r="H43" s="26"/>
    </row>
    <row r="44" spans="1:8" ht="13.5" thickBot="1">
      <c r="A44" s="23" t="s">
        <v>75</v>
      </c>
      <c r="B44" s="44">
        <v>16</v>
      </c>
      <c r="C44" s="25"/>
      <c r="D44" s="25"/>
      <c r="E44" s="25"/>
      <c r="F44" s="25"/>
      <c r="G44" s="25"/>
      <c r="H44" s="26"/>
    </row>
    <row r="45" spans="1:8" ht="6" customHeight="1">
      <c r="A45" s="23"/>
      <c r="B45" s="25"/>
      <c r="C45" s="25"/>
      <c r="D45" s="25"/>
      <c r="E45" s="25"/>
      <c r="F45" s="25"/>
      <c r="G45" s="25"/>
      <c r="H45" s="26"/>
    </row>
    <row r="46" spans="1:8" ht="6" customHeight="1" thickBot="1">
      <c r="A46" s="48"/>
      <c r="B46" s="49"/>
      <c r="C46" s="50"/>
      <c r="D46" s="50"/>
      <c r="E46" s="50"/>
      <c r="F46" s="50"/>
      <c r="G46" s="50"/>
      <c r="H46" s="51"/>
    </row>
    <row r="47" spans="1:8" ht="21" customHeight="1">
      <c r="A47" s="518" t="s">
        <v>73</v>
      </c>
      <c r="B47" s="519"/>
      <c r="C47" s="519"/>
      <c r="D47" s="519"/>
      <c r="E47" s="519"/>
      <c r="F47" s="519"/>
      <c r="G47" s="519"/>
      <c r="H47" s="519"/>
    </row>
    <row r="48" spans="1:8">
      <c r="A48" s="22"/>
      <c r="B48" s="21"/>
      <c r="C48" s="21"/>
      <c r="D48" s="21"/>
      <c r="E48" s="21"/>
      <c r="F48" s="21"/>
      <c r="G48" s="21"/>
      <c r="H48" s="21"/>
    </row>
    <row r="49" spans="1:8">
      <c r="A49" s="22"/>
      <c r="B49" s="21"/>
      <c r="C49" s="21"/>
      <c r="D49" s="21"/>
      <c r="E49" s="21"/>
      <c r="F49" s="21"/>
      <c r="G49" s="21"/>
      <c r="H49" s="21"/>
    </row>
    <row r="50" spans="1:8">
      <c r="A50" s="127"/>
      <c r="B50" s="118"/>
      <c r="C50" s="118"/>
      <c r="D50" s="118"/>
      <c r="E50" s="118"/>
      <c r="F50" s="118"/>
      <c r="G50" s="118"/>
      <c r="H50" s="118"/>
    </row>
    <row r="51" spans="1:8">
      <c r="A51" s="127"/>
      <c r="B51" s="118"/>
      <c r="C51" s="118"/>
      <c r="D51" s="118"/>
      <c r="E51" s="118"/>
      <c r="F51" s="118"/>
      <c r="G51" s="118"/>
      <c r="H51" s="118"/>
    </row>
    <row r="52" spans="1:8" hidden="1">
      <c r="A52" s="127"/>
      <c r="B52" s="118" t="s">
        <v>96</v>
      </c>
      <c r="C52" s="118"/>
      <c r="D52" s="118"/>
      <c r="E52" s="118"/>
      <c r="F52" s="118" t="s">
        <v>99</v>
      </c>
      <c r="G52" s="118"/>
      <c r="H52" s="118"/>
    </row>
    <row r="53" spans="1:8" hidden="1">
      <c r="A53" s="127"/>
      <c r="B53" s="118" t="s">
        <v>97</v>
      </c>
      <c r="C53" s="118"/>
      <c r="D53" s="118"/>
      <c r="E53" s="118"/>
      <c r="F53" s="118" t="s">
        <v>100</v>
      </c>
      <c r="G53" s="118"/>
      <c r="H53" s="118"/>
    </row>
    <row r="54" spans="1:8" hidden="1">
      <c r="A54" s="127"/>
      <c r="B54" s="118" t="s">
        <v>98</v>
      </c>
      <c r="C54" s="118"/>
      <c r="D54" s="118"/>
      <c r="E54" s="118"/>
      <c r="F54" s="118" t="s">
        <v>101</v>
      </c>
      <c r="G54" s="118"/>
      <c r="H54" s="118"/>
    </row>
    <row r="55" spans="1:8" hidden="1">
      <c r="A55" s="127"/>
      <c r="B55" s="118" t="s">
        <v>39</v>
      </c>
      <c r="C55" s="118"/>
      <c r="D55" s="118"/>
      <c r="E55" s="118"/>
      <c r="F55" s="118" t="s">
        <v>102</v>
      </c>
      <c r="G55" s="118"/>
      <c r="H55" s="118"/>
    </row>
    <row r="56" spans="1:8" hidden="1">
      <c r="A56" s="127"/>
      <c r="B56" s="118" t="s">
        <v>43</v>
      </c>
      <c r="C56" s="118"/>
      <c r="D56" s="118"/>
      <c r="E56" s="118"/>
      <c r="F56" s="118" t="s">
        <v>103</v>
      </c>
      <c r="G56" s="118"/>
      <c r="H56" s="118"/>
    </row>
    <row r="57" spans="1:8" hidden="1">
      <c r="A57" s="127"/>
      <c r="B57" s="118" t="s">
        <v>48</v>
      </c>
      <c r="C57" s="118"/>
      <c r="D57" s="118"/>
      <c r="E57" s="118"/>
      <c r="F57" s="118" t="s">
        <v>104</v>
      </c>
      <c r="G57" s="118"/>
      <c r="H57" s="118"/>
    </row>
    <row r="58" spans="1:8" hidden="1">
      <c r="A58" s="127"/>
      <c r="B58" s="118" t="s">
        <v>53</v>
      </c>
      <c r="C58" s="118"/>
      <c r="D58" s="118"/>
      <c r="E58" s="118"/>
      <c r="F58" s="118" t="s">
        <v>105</v>
      </c>
      <c r="G58" s="118"/>
      <c r="H58" s="118"/>
    </row>
    <row r="59" spans="1:8" hidden="1">
      <c r="A59" s="127"/>
      <c r="B59" s="118"/>
      <c r="C59" s="118"/>
      <c r="D59" s="118"/>
      <c r="E59" s="118"/>
      <c r="F59" s="118" t="s">
        <v>106</v>
      </c>
      <c r="G59" s="118"/>
      <c r="H59" s="118"/>
    </row>
    <row r="60" spans="1:8" hidden="1">
      <c r="A60" s="127"/>
      <c r="B60" s="118"/>
      <c r="C60" s="118"/>
      <c r="D60" s="118"/>
      <c r="E60" s="118"/>
      <c r="F60" s="118" t="s">
        <v>107</v>
      </c>
      <c r="G60" s="118"/>
      <c r="H60" s="118"/>
    </row>
    <row r="61" spans="1:8" hidden="1">
      <c r="A61" s="127"/>
      <c r="B61" s="118"/>
      <c r="C61" s="118"/>
      <c r="D61" s="118"/>
      <c r="E61" s="118"/>
      <c r="F61" s="118" t="s">
        <v>108</v>
      </c>
      <c r="G61" s="118"/>
      <c r="H61" s="118"/>
    </row>
    <row r="62" spans="1:8" hidden="1">
      <c r="A62" s="127"/>
      <c r="B62" s="118"/>
      <c r="C62" s="118"/>
      <c r="D62" s="118"/>
      <c r="E62" s="118"/>
      <c r="F62" s="118" t="s">
        <v>109</v>
      </c>
      <c r="G62" s="118"/>
      <c r="H62" s="118"/>
    </row>
    <row r="63" spans="1:8" hidden="1">
      <c r="A63" s="127"/>
      <c r="B63" s="118"/>
      <c r="C63" s="118"/>
      <c r="D63" s="118"/>
      <c r="E63" s="118"/>
      <c r="F63" s="118" t="s">
        <v>110</v>
      </c>
      <c r="G63" s="118"/>
      <c r="H63" s="118"/>
    </row>
    <row r="64" spans="1:8" hidden="1">
      <c r="A64" s="127"/>
      <c r="B64" s="118"/>
      <c r="C64" s="118"/>
      <c r="D64" s="118"/>
      <c r="E64" s="118"/>
      <c r="F64" s="118" t="s">
        <v>111</v>
      </c>
      <c r="G64" s="118"/>
      <c r="H64" s="118"/>
    </row>
    <row r="65" spans="1:8" hidden="1">
      <c r="A65" s="127"/>
      <c r="B65" s="118"/>
      <c r="C65" s="118"/>
      <c r="D65" s="118"/>
      <c r="E65" s="118"/>
      <c r="F65" s="118" t="s">
        <v>112</v>
      </c>
      <c r="G65" s="118"/>
      <c r="H65" s="118"/>
    </row>
    <row r="66" spans="1:8">
      <c r="A66" s="127"/>
      <c r="B66" s="118"/>
      <c r="C66" s="118"/>
      <c r="D66" s="118"/>
      <c r="E66" s="118"/>
      <c r="F66" s="118"/>
      <c r="G66" s="118"/>
      <c r="H66" s="118"/>
    </row>
    <row r="67" spans="1:8">
      <c r="A67" s="127"/>
      <c r="B67" s="118"/>
      <c r="C67" s="118"/>
      <c r="D67" s="118"/>
      <c r="E67" s="118"/>
      <c r="F67" s="118"/>
      <c r="G67" s="118"/>
      <c r="H67" s="118"/>
    </row>
    <row r="68" spans="1:8">
      <c r="A68" s="127"/>
      <c r="B68" s="118"/>
      <c r="C68" s="118"/>
      <c r="D68" s="118"/>
      <c r="E68" s="118"/>
      <c r="F68" s="118"/>
      <c r="G68" s="118"/>
      <c r="H68" s="118"/>
    </row>
    <row r="69" spans="1:8">
      <c r="A69" s="127"/>
      <c r="B69" s="118"/>
      <c r="C69" s="118"/>
      <c r="D69" s="118"/>
      <c r="E69" s="118"/>
      <c r="F69" s="118"/>
      <c r="G69" s="118"/>
      <c r="H69" s="118"/>
    </row>
    <row r="70" spans="1:8">
      <c r="A70" s="127"/>
      <c r="B70" s="118"/>
      <c r="C70" s="118"/>
      <c r="D70" s="118"/>
      <c r="E70" s="118"/>
      <c r="F70" s="118"/>
      <c r="G70" s="118"/>
      <c r="H70" s="118"/>
    </row>
    <row r="71" spans="1:8">
      <c r="A71" s="127"/>
      <c r="B71" s="118"/>
      <c r="C71" s="118"/>
      <c r="D71" s="118"/>
      <c r="E71" s="118"/>
      <c r="F71" s="118"/>
      <c r="G71" s="118"/>
      <c r="H71" s="118"/>
    </row>
    <row r="72" spans="1:8">
      <c r="A72" s="127"/>
      <c r="B72" s="118"/>
      <c r="C72" s="118"/>
      <c r="D72" s="118"/>
      <c r="E72" s="118"/>
      <c r="F72" s="118"/>
      <c r="G72" s="118"/>
      <c r="H72" s="118"/>
    </row>
    <row r="73" spans="1:8">
      <c r="A73" s="127"/>
      <c r="B73" s="118"/>
      <c r="C73" s="118"/>
      <c r="D73" s="118"/>
      <c r="E73" s="118"/>
      <c r="F73" s="118"/>
      <c r="G73" s="118"/>
      <c r="H73" s="118"/>
    </row>
    <row r="74" spans="1:8">
      <c r="A74" s="127"/>
      <c r="B74" s="118"/>
      <c r="C74" s="118"/>
      <c r="D74" s="118"/>
      <c r="E74" s="118"/>
      <c r="F74" s="118"/>
      <c r="G74" s="118"/>
      <c r="H74" s="118"/>
    </row>
    <row r="75" spans="1:8">
      <c r="A75" s="127"/>
      <c r="B75" s="118"/>
      <c r="C75" s="118"/>
      <c r="D75" s="118"/>
      <c r="E75" s="118"/>
      <c r="F75" s="118"/>
      <c r="G75" s="118"/>
      <c r="H75" s="118"/>
    </row>
    <row r="76" spans="1:8">
      <c r="A76" s="127"/>
      <c r="B76" s="118"/>
      <c r="C76" s="118"/>
      <c r="D76" s="118"/>
      <c r="E76" s="118"/>
      <c r="F76" s="118"/>
      <c r="G76" s="118"/>
      <c r="H76" s="118"/>
    </row>
    <row r="77" spans="1:8">
      <c r="A77" s="127"/>
      <c r="B77" s="118"/>
      <c r="C77" s="118"/>
      <c r="D77" s="118"/>
      <c r="E77" s="118"/>
      <c r="F77" s="118"/>
      <c r="G77" s="118"/>
      <c r="H77" s="118"/>
    </row>
    <row r="78" spans="1:8">
      <c r="A78" s="127"/>
      <c r="B78" s="118"/>
      <c r="C78" s="118"/>
      <c r="D78" s="118"/>
      <c r="E78" s="118"/>
      <c r="F78" s="118"/>
      <c r="G78" s="118"/>
      <c r="H78" s="118"/>
    </row>
    <row r="79" spans="1:8">
      <c r="A79" s="127"/>
      <c r="B79" s="118"/>
      <c r="C79" s="118"/>
      <c r="D79" s="118"/>
      <c r="E79" s="118"/>
      <c r="F79" s="118"/>
      <c r="G79" s="118"/>
      <c r="H79" s="118"/>
    </row>
    <row r="80" spans="1:8">
      <c r="A80" s="127"/>
      <c r="B80" s="118"/>
      <c r="C80" s="118"/>
      <c r="D80" s="118"/>
      <c r="E80" s="118"/>
      <c r="F80" s="118"/>
      <c r="G80" s="118"/>
      <c r="H80" s="118"/>
    </row>
    <row r="81" spans="1:8">
      <c r="A81" s="127"/>
      <c r="B81" s="118"/>
      <c r="C81" s="118"/>
      <c r="D81" s="118"/>
      <c r="E81" s="118"/>
      <c r="F81" s="118"/>
      <c r="G81" s="118"/>
      <c r="H81" s="118"/>
    </row>
    <row r="82" spans="1:8">
      <c r="A82" s="127"/>
      <c r="B82" s="118"/>
      <c r="C82" s="118"/>
      <c r="D82" s="118"/>
      <c r="E82" s="118"/>
      <c r="F82" s="118"/>
      <c r="G82" s="118"/>
      <c r="H82" s="118"/>
    </row>
    <row r="83" spans="1:8">
      <c r="A83" s="127"/>
      <c r="B83" s="118"/>
      <c r="C83" s="118"/>
      <c r="D83" s="118"/>
      <c r="E83" s="118"/>
      <c r="F83" s="118"/>
      <c r="G83" s="118"/>
      <c r="H83" s="118"/>
    </row>
    <row r="84" spans="1:8">
      <c r="A84" s="127"/>
      <c r="B84" s="118"/>
      <c r="C84" s="118"/>
      <c r="D84" s="118"/>
      <c r="E84" s="118"/>
      <c r="F84" s="118"/>
      <c r="G84" s="118"/>
      <c r="H84" s="118"/>
    </row>
    <row r="85" spans="1:8">
      <c r="A85" s="127"/>
      <c r="B85" s="118"/>
      <c r="C85" s="118"/>
      <c r="D85" s="118"/>
      <c r="E85" s="118"/>
      <c r="F85" s="118"/>
      <c r="G85" s="118"/>
      <c r="H85" s="118"/>
    </row>
    <row r="86" spans="1:8">
      <c r="A86" s="127"/>
      <c r="B86" s="118"/>
      <c r="C86" s="118"/>
      <c r="D86" s="118"/>
      <c r="E86" s="118"/>
      <c r="F86" s="118"/>
      <c r="G86" s="118"/>
      <c r="H86" s="118"/>
    </row>
    <row r="87" spans="1:8">
      <c r="A87" s="127"/>
      <c r="B87" s="118"/>
      <c r="C87" s="118"/>
      <c r="D87" s="118"/>
      <c r="E87" s="118"/>
      <c r="F87" s="118"/>
      <c r="G87" s="118"/>
      <c r="H87" s="118"/>
    </row>
    <row r="88" spans="1:8">
      <c r="A88" s="127"/>
      <c r="B88" s="118"/>
      <c r="C88" s="118"/>
      <c r="D88" s="118"/>
      <c r="E88" s="118"/>
      <c r="F88" s="118"/>
      <c r="G88" s="118"/>
      <c r="H88" s="118"/>
    </row>
    <row r="89" spans="1:8">
      <c r="A89" s="127"/>
      <c r="B89" s="118"/>
      <c r="C89" s="118"/>
      <c r="D89" s="118"/>
      <c r="E89" s="118"/>
      <c r="F89" s="118"/>
      <c r="G89" s="118"/>
      <c r="H89" s="118"/>
    </row>
    <row r="90" spans="1:8">
      <c r="A90" s="127"/>
      <c r="B90" s="118"/>
      <c r="C90" s="118"/>
      <c r="D90" s="118"/>
      <c r="E90" s="118"/>
      <c r="F90" s="118"/>
      <c r="G90" s="118"/>
      <c r="H90" s="118"/>
    </row>
    <row r="91" spans="1:8">
      <c r="A91" s="127"/>
      <c r="B91" s="118"/>
      <c r="C91" s="118"/>
      <c r="D91" s="118"/>
      <c r="E91" s="118"/>
      <c r="F91" s="118"/>
      <c r="G91" s="118"/>
      <c r="H91" s="118"/>
    </row>
    <row r="92" spans="1:8">
      <c r="A92" s="127"/>
      <c r="B92" s="118"/>
      <c r="C92" s="118"/>
      <c r="D92" s="118"/>
      <c r="E92" s="118"/>
      <c r="F92" s="118"/>
      <c r="G92" s="118"/>
      <c r="H92" s="118"/>
    </row>
    <row r="93" spans="1:8">
      <c r="A93" s="127"/>
      <c r="B93" s="118"/>
      <c r="C93" s="118"/>
      <c r="D93" s="118"/>
      <c r="E93" s="118"/>
      <c r="F93" s="118"/>
      <c r="G93" s="118"/>
      <c r="H93" s="118"/>
    </row>
    <row r="94" spans="1:8">
      <c r="A94" s="127"/>
      <c r="B94" s="118"/>
      <c r="C94" s="118"/>
      <c r="D94" s="118"/>
      <c r="E94" s="118"/>
      <c r="F94" s="118"/>
      <c r="G94" s="118"/>
      <c r="H94" s="118"/>
    </row>
    <row r="95" spans="1:8">
      <c r="A95" s="127"/>
      <c r="B95" s="118"/>
      <c r="C95" s="118"/>
      <c r="D95" s="118"/>
      <c r="E95" s="118"/>
      <c r="F95" s="118"/>
      <c r="G95" s="118"/>
      <c r="H95" s="118"/>
    </row>
  </sheetData>
  <sheetProtection selectLockedCells="1"/>
  <protectedRanges>
    <protectedRange sqref="B44" name="Диапазон9"/>
    <protectedRange sqref="B40" name="Диапазон8"/>
    <protectedRange sqref="B36" name="Диапазон7"/>
    <protectedRange sqref="B32" name="Диапазон6"/>
    <protectedRange sqref="C27" name="Диапазон5"/>
    <protectedRange sqref="B23" name="Диапазон4"/>
    <protectedRange sqref="B19" name="Диапазон3"/>
    <protectedRange sqref="B15" name="Диапазон2"/>
    <protectedRange sqref="B11" name="Диапазон1"/>
  </protectedRanges>
  <customSheetViews>
    <customSheetView guid="{BFE542F4-8A0C-4C42-A5CA-C7B0ACF2717E}" scale="85" hiddenRows="1">
      <selection activeCell="AA6" sqref="AA6"/>
      <pageMargins left="0.35433070866141736" right="0.35433070866141736" top="1.0536458333333334" bottom="0.59055118110236227" header="0.51181102362204722" footer="0.51181102362204722"/>
      <pageSetup paperSize="9" scale="85" orientation="portrait" r:id="rId1"/>
      <headerFooter alignWithMargins="0">
        <oddHeader>&amp;CКГБУ "Региональный центр оценки качества образования"</oddHeader>
      </headerFooter>
    </customSheetView>
  </customSheetViews>
  <mergeCells count="6">
    <mergeCell ref="B32:F32"/>
    <mergeCell ref="A47:H47"/>
    <mergeCell ref="C2:D2"/>
    <mergeCell ref="F2:G2"/>
    <mergeCell ref="A5:H5"/>
    <mergeCell ref="B15:F15"/>
  </mergeCells>
  <phoneticPr fontId="0" type="noConversion"/>
  <conditionalFormatting sqref="E2:F2 B11 B15:F15 B23 B32:F32 B19 B40 B44 B36 C27 C2 H2 B7">
    <cfRule type="expression" dxfId="3" priority="1" stopIfTrue="1">
      <formula>ISBLANK(B2)</formula>
    </cfRule>
  </conditionalFormatting>
  <dataValidations xWindow="501" yWindow="515" count="11">
    <dataValidation type="whole" allowBlank="1" showInputMessage="1" showErrorMessage="1" promptTitle="Число учащихся в классе" prompt="Введите количество учащихся в классе" sqref="B23:B24 B20">
      <formula1>1</formula1>
      <formula2>40</formula2>
    </dataValidation>
    <dataValidation type="whole" allowBlank="1" showInputMessage="1" showErrorMessage="1" promptTitle="Число уроков математики в неделю" prompt="Введите количество уроков " sqref="C28">
      <formula1>3</formula1>
      <formula2>6</formula2>
    </dataValidation>
    <dataValidation type="whole" allowBlank="1" showInputMessage="1" showErrorMessage="1" promptTitle="Ваш разряд" prompt="Введите Ваш разряд" sqref="B41 B37">
      <formula1>8</formula1>
      <formula2>14</formula2>
    </dataValidation>
    <dataValidation type="whole" allowBlank="1" showInputMessage="1" showErrorMessage="1" promptTitle="Кол-во уроков англ.яз. в неделю" prompt="Введите количество уроков " sqref="C27">
      <formula1>1</formula1>
      <formula2>10</formula2>
    </dataValidation>
    <dataValidation type="list" allowBlank="1" showInputMessage="1" showErrorMessage="1" promptTitle="Ваша категория" prompt="Высшая, Первая, Вторая, Соответствие должности; Не имею" sqref="B40">
      <formula1>"Высшая,Первая,Вторая,Соответствие должности,Не имею"</formula1>
    </dataValidation>
    <dataValidation type="whole" allowBlank="1" showInputMessage="1" showErrorMessage="1" promptTitle="Ваш возраст" prompt="Введите Ваш возраст (число полных лет)" sqref="B36">
      <formula1>15</formula1>
      <formula2>100</formula2>
    </dataValidation>
    <dataValidation allowBlank="1" showInputMessage="1" showErrorMessage="1" promptTitle="Ваш стаж" prompt="Введите стаж Вашей педагогической деятельности" sqref="B44"/>
    <dataValidation type="whole" allowBlank="1" showInputMessage="1" showErrorMessage="1" promptTitle="Продолжительность урока" prompt="Введите продолжительность урока в минутах" sqref="B19">
      <formula1>1</formula1>
      <formula2>50</formula2>
    </dataValidation>
    <dataValidation type="list" allowBlank="1" showInputMessage="1" showErrorMessage="1" sqref="B12 B33 B16">
      <formula1>#REF!</formula1>
    </dataValidation>
    <dataValidation type="list" allowBlank="1" showInputMessage="1" showErrorMessage="1" promptTitle="Тип школы" prompt="Укажите тип школы" sqref="B11">
      <formula1>"начальняя, основная, средняя"</formula1>
    </dataValidation>
    <dataValidation type="list" allowBlank="1" showInputMessage="1" showErrorMessage="1" promptTitle="Вид школы" prompt="Укажите вид школы" sqref="B15:F15">
      <formula1>$B$52:$B$58</formula1>
    </dataValidation>
  </dataValidations>
  <pageMargins left="0.35433070866141736" right="0.35433070866141736" top="1.0536458333333334" bottom="0.59055118110236227" header="0.51181102362204722" footer="0.51181102362204722"/>
  <pageSetup paperSize="9" scale="85" orientation="portrait" r:id="rId2"/>
  <headerFooter alignWithMargins="0">
    <oddHeader>&amp;CКГБУ "Региональный центр оценки качества образования"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T162"/>
  <sheetViews>
    <sheetView topLeftCell="B12" zoomScale="90" zoomScaleNormal="90" zoomScalePageLayoutView="90" workbookViewId="0">
      <selection activeCell="AO48" sqref="AO48"/>
    </sheetView>
  </sheetViews>
  <sheetFormatPr defaultRowHeight="12.75"/>
  <cols>
    <col min="1" max="1" width="7.42578125" style="1" hidden="1" customWidth="1"/>
    <col min="2" max="2" width="6.85546875" style="1" bestFit="1" customWidth="1"/>
    <col min="3" max="3" width="4.28515625" style="1" bestFit="1" customWidth="1"/>
    <col min="4" max="4" width="29.7109375" style="1" customWidth="1"/>
    <col min="5" max="26" width="5.140625" style="1" customWidth="1"/>
    <col min="27" max="27" width="8.5703125" style="1" customWidth="1"/>
    <col min="28" max="28" width="5.28515625" style="1" hidden="1" customWidth="1"/>
    <col min="29" max="29" width="5.7109375" style="1" hidden="1" customWidth="1"/>
    <col min="30" max="30" width="6.28515625" style="1" hidden="1" customWidth="1"/>
    <col min="31" max="31" width="5.7109375" style="1" hidden="1" customWidth="1"/>
    <col min="32" max="32" width="5.42578125" style="1" hidden="1" customWidth="1"/>
    <col min="33" max="33" width="5.7109375" style="1" hidden="1" customWidth="1"/>
    <col min="34" max="34" width="8" style="1" hidden="1" customWidth="1"/>
    <col min="35" max="37" width="6.7109375" style="1" hidden="1" customWidth="1"/>
    <col min="38" max="38" width="9.140625" style="1"/>
    <col min="39" max="39" width="12.5703125" style="1" hidden="1" customWidth="1"/>
    <col min="40" max="45" width="9.140625" style="1"/>
    <col min="46" max="46" width="0" style="1" hidden="1" customWidth="1"/>
    <col min="47" max="16384" width="9.140625" style="1"/>
  </cols>
  <sheetData>
    <row r="1" spans="1:72" ht="17.25" customHeight="1">
      <c r="B1" s="87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  <c r="AH1" s="393"/>
      <c r="AI1" s="236"/>
      <c r="AJ1" s="236"/>
      <c r="AK1" s="236"/>
      <c r="AL1" s="236"/>
      <c r="AM1" s="6"/>
      <c r="AN1" s="6"/>
      <c r="AO1" s="6"/>
      <c r="AP1" s="6"/>
      <c r="AQ1" s="6"/>
      <c r="AR1" s="6"/>
      <c r="AS1" s="6"/>
      <c r="AT1" s="6">
        <f>IF(AT19=0,0,1)</f>
        <v>0</v>
      </c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</row>
    <row r="2" spans="1:72" ht="30.75" customHeight="1">
      <c r="B2" s="87"/>
      <c r="C2" s="394"/>
      <c r="D2" s="539"/>
      <c r="E2" s="540"/>
      <c r="F2" s="539" t="s">
        <v>0</v>
      </c>
      <c r="G2" s="539"/>
      <c r="H2" s="534" t="str">
        <f>IF(NOT(ISBLANK('СПИСОК КЛАССА'!H1)),'СПИСОК КЛАССА'!H1,"")</f>
        <v>137022</v>
      </c>
      <c r="I2" s="535"/>
      <c r="J2" s="536"/>
      <c r="K2" s="537" t="s">
        <v>1</v>
      </c>
      <c r="L2" s="537"/>
      <c r="M2" s="538"/>
      <c r="N2" s="534" t="str">
        <f>IF(NOT(ISBLANK('СПИСОК КЛАССА'!J1)),'СПИСОК КЛАССА'!J1,"")</f>
        <v>0501</v>
      </c>
      <c r="O2" s="5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395"/>
      <c r="AC2" s="395"/>
      <c r="AD2" s="395"/>
      <c r="AE2" s="395"/>
      <c r="AF2" s="395"/>
      <c r="AG2" s="395"/>
      <c r="AH2" s="396"/>
      <c r="AI2" s="236"/>
      <c r="AJ2" s="236"/>
      <c r="AK2" s="236"/>
      <c r="AL2" s="23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</row>
    <row r="3" spans="1:72">
      <c r="B3" s="87"/>
      <c r="C3" s="397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5"/>
      <c r="AG3" s="395"/>
      <c r="AH3" s="395"/>
      <c r="AI3" s="236"/>
      <c r="AJ3" s="236"/>
      <c r="AK3" s="236"/>
      <c r="AL3" s="23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</row>
    <row r="4" spans="1:72" s="3" customFormat="1" ht="37.5" customHeight="1">
      <c r="B4" s="92"/>
      <c r="C4" s="546" t="s">
        <v>138</v>
      </c>
      <c r="D4" s="546"/>
      <c r="E4" s="546"/>
      <c r="F4" s="546"/>
      <c r="G4" s="544" t="str">
        <f>IF(NOT(ISBLANK('СПИСОК КЛАССА'!E3)),'СПИСОК КЛАССА'!E3,"")</f>
        <v>МУНИЦИПАЛЬНОЕ ОБЩЕОБРАЗОВАТЕЛЬНОЕ УЧРЕЖДЕНИЕ СРЕДНЯЯ ОБЩЕОБРАЗОВАТЕЛЬНАЯ ШКОЛА № 27</v>
      </c>
      <c r="H4" s="544"/>
      <c r="I4" s="544"/>
      <c r="J4" s="544"/>
      <c r="K4" s="544"/>
      <c r="L4" s="544"/>
      <c r="M4" s="544"/>
      <c r="N4" s="544"/>
      <c r="O4" s="544"/>
      <c r="P4" s="544"/>
      <c r="Q4" s="544"/>
      <c r="R4" s="544"/>
      <c r="S4" s="544"/>
      <c r="T4" s="544"/>
      <c r="U4" s="544"/>
      <c r="V4" s="544"/>
      <c r="W4" s="544"/>
      <c r="X4" s="544"/>
      <c r="Y4" s="544"/>
      <c r="Z4" s="544"/>
      <c r="AA4" s="544"/>
      <c r="AB4" s="544"/>
      <c r="AC4" s="544"/>
      <c r="AD4" s="544"/>
      <c r="AE4" s="544"/>
      <c r="AF4" s="544"/>
      <c r="AG4" s="544"/>
      <c r="AH4" s="396"/>
      <c r="AI4" s="237"/>
      <c r="AJ4" s="237"/>
      <c r="AK4" s="237"/>
      <c r="AL4" s="23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</row>
    <row r="5" spans="1:72">
      <c r="B5" s="87"/>
      <c r="C5" s="398"/>
      <c r="D5" s="399"/>
      <c r="E5" s="393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398"/>
      <c r="AG5" s="398"/>
      <c r="AH5" s="398"/>
      <c r="AI5" s="236"/>
      <c r="AJ5" s="236"/>
      <c r="AK5" s="236"/>
      <c r="AL5" s="23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</row>
    <row r="6" spans="1:72" ht="17.25" customHeight="1" thickBot="1">
      <c r="B6" s="87"/>
      <c r="C6" s="393"/>
      <c r="D6" s="400" t="s">
        <v>137</v>
      </c>
      <c r="E6" s="401">
        <f>COUNTIF('СПИСОК КЛАССА'!J20:'СПИСОК КЛАССА'!J63,0)+COUNTIF('СПИСОК КЛАССА'!J20:'СПИСОК КЛАССА'!J63,1)+COUNTIF('СПИСОК КЛАССА'!J20:'СПИСОК КЛАССА'!J63,2)</f>
        <v>29</v>
      </c>
      <c r="F6" s="236"/>
      <c r="G6" s="393"/>
      <c r="H6" s="393"/>
      <c r="I6" s="400" t="s">
        <v>12</v>
      </c>
      <c r="J6" s="554" t="s">
        <v>141</v>
      </c>
      <c r="K6" s="554"/>
      <c r="L6" s="554"/>
      <c r="M6" s="554"/>
      <c r="N6" s="402"/>
      <c r="O6" s="395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395"/>
      <c r="AC6" s="395"/>
      <c r="AD6" s="395"/>
      <c r="AE6" s="395"/>
      <c r="AF6" s="395"/>
      <c r="AG6" s="395"/>
      <c r="AH6" s="395"/>
      <c r="AI6" s="236"/>
      <c r="AJ6" s="236"/>
      <c r="AK6" s="236"/>
      <c r="AL6" s="23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</row>
    <row r="7" spans="1:72" ht="18.75" customHeight="1" thickBot="1">
      <c r="B7" s="87"/>
      <c r="C7" s="97"/>
      <c r="D7" s="95" t="s">
        <v>129</v>
      </c>
      <c r="E7" s="96">
        <f>COUNTIF('СПИСОК КЛАССА'!J20:'СПИСОК КЛАССА'!J63,1)+COUNTIF('СПИСОК КЛАССА'!J20:'СПИСОК КЛАССА'!J63,2)</f>
        <v>29</v>
      </c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</row>
    <row r="8" spans="1:72">
      <c r="B8" s="87"/>
      <c r="C8" s="97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</row>
    <row r="9" spans="1:72" ht="16.5" thickBot="1">
      <c r="B9" s="485" t="s">
        <v>222</v>
      </c>
      <c r="C9" s="485"/>
      <c r="D9" s="485"/>
      <c r="E9" s="545"/>
      <c r="F9" s="545"/>
      <c r="G9" s="545"/>
      <c r="H9" s="545"/>
      <c r="I9" s="545"/>
      <c r="J9" s="545"/>
      <c r="K9" s="545"/>
      <c r="L9" s="545"/>
      <c r="M9" s="545"/>
      <c r="N9" s="545"/>
      <c r="O9" s="545"/>
      <c r="P9" s="545"/>
      <c r="Q9" s="545"/>
      <c r="R9" s="545"/>
      <c r="S9" s="545"/>
      <c r="T9" s="545"/>
      <c r="U9" s="545"/>
      <c r="V9" s="545"/>
      <c r="W9" s="545"/>
      <c r="X9" s="545"/>
      <c r="Y9" s="545"/>
      <c r="Z9" s="545"/>
      <c r="AA9" s="545"/>
      <c r="AB9" s="545"/>
      <c r="AC9" s="545"/>
      <c r="AD9" s="545"/>
      <c r="AE9" s="545"/>
      <c r="AF9" s="545"/>
      <c r="AG9" s="545"/>
      <c r="AH9" s="545"/>
      <c r="AI9" s="545"/>
      <c r="AJ9" s="545"/>
      <c r="AK9" s="545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</row>
    <row r="10" spans="1:72" ht="67.5" customHeight="1" thickBot="1">
      <c r="A10" s="10"/>
      <c r="B10" s="547" t="s">
        <v>2</v>
      </c>
      <c r="C10" s="549" t="s">
        <v>14</v>
      </c>
      <c r="D10" s="551" t="s">
        <v>3</v>
      </c>
      <c r="E10" s="541" t="s">
        <v>140</v>
      </c>
      <c r="F10" s="542"/>
      <c r="G10" s="542"/>
      <c r="H10" s="542"/>
      <c r="I10" s="542"/>
      <c r="J10" s="542"/>
      <c r="K10" s="542"/>
      <c r="L10" s="542"/>
      <c r="M10" s="542"/>
      <c r="N10" s="542"/>
      <c r="O10" s="542"/>
      <c r="P10" s="542"/>
      <c r="Q10" s="542"/>
      <c r="R10" s="542"/>
      <c r="S10" s="542"/>
      <c r="T10" s="542"/>
      <c r="U10" s="542"/>
      <c r="V10" s="542"/>
      <c r="W10" s="542"/>
      <c r="X10" s="542"/>
      <c r="Y10" s="542"/>
      <c r="Z10" s="542"/>
      <c r="AA10" s="542"/>
      <c r="AB10" s="543"/>
      <c r="AC10" s="543"/>
      <c r="AD10" s="543"/>
      <c r="AE10" s="543"/>
      <c r="AF10" s="543"/>
      <c r="AG10" s="543"/>
      <c r="AH10" s="543"/>
      <c r="AI10" s="543"/>
      <c r="AJ10" s="543"/>
      <c r="AK10" s="543"/>
      <c r="AL10" s="543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</row>
    <row r="11" spans="1:72" ht="76.5" customHeight="1" thickBot="1">
      <c r="A11" s="11"/>
      <c r="B11" s="547"/>
      <c r="C11" s="549"/>
      <c r="D11" s="551"/>
      <c r="E11" s="555" t="s">
        <v>193</v>
      </c>
      <c r="F11" s="556"/>
      <c r="G11" s="557" t="s">
        <v>194</v>
      </c>
      <c r="H11" s="558"/>
      <c r="I11" s="558"/>
      <c r="J11" s="558"/>
      <c r="K11" s="558"/>
      <c r="L11" s="558"/>
      <c r="M11" s="558"/>
      <c r="N11" s="558"/>
      <c r="O11" s="558"/>
      <c r="P11" s="558"/>
      <c r="Q11" s="558"/>
      <c r="R11" s="558"/>
      <c r="S11" s="558"/>
      <c r="T11" s="558"/>
      <c r="U11" s="558"/>
      <c r="V11" s="558"/>
      <c r="W11" s="558"/>
      <c r="X11" s="558"/>
      <c r="Y11" s="558"/>
      <c r="Z11" s="558"/>
      <c r="AA11" s="559" t="s">
        <v>195</v>
      </c>
      <c r="AB11" s="543"/>
      <c r="AC11" s="543"/>
      <c r="AD11" s="543"/>
      <c r="AE11" s="543"/>
      <c r="AF11" s="543"/>
      <c r="AG11" s="543"/>
      <c r="AH11" s="543"/>
      <c r="AI11" s="543"/>
      <c r="AJ11" s="543"/>
      <c r="AK11" s="543"/>
      <c r="AL11" s="543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</row>
    <row r="12" spans="1:72" ht="24.75" customHeight="1" thickBot="1">
      <c r="A12" s="11"/>
      <c r="B12" s="548"/>
      <c r="C12" s="550"/>
      <c r="D12" s="552"/>
      <c r="E12" s="263">
        <v>1</v>
      </c>
      <c r="F12" s="263">
        <v>2</v>
      </c>
      <c r="G12" s="264">
        <v>1</v>
      </c>
      <c r="H12" s="264">
        <v>2</v>
      </c>
      <c r="I12" s="264">
        <v>3</v>
      </c>
      <c r="J12" s="264">
        <v>4</v>
      </c>
      <c r="K12" s="264">
        <v>5</v>
      </c>
      <c r="L12" s="264">
        <v>6</v>
      </c>
      <c r="M12" s="264">
        <v>7</v>
      </c>
      <c r="N12" s="264">
        <v>8</v>
      </c>
      <c r="O12" s="264">
        <v>9</v>
      </c>
      <c r="P12" s="264">
        <v>10</v>
      </c>
      <c r="Q12" s="264">
        <v>11</v>
      </c>
      <c r="R12" s="264">
        <v>12</v>
      </c>
      <c r="S12" s="264">
        <v>13</v>
      </c>
      <c r="T12" s="264">
        <v>14</v>
      </c>
      <c r="U12" s="264">
        <v>15</v>
      </c>
      <c r="V12" s="264">
        <v>16</v>
      </c>
      <c r="W12" s="264">
        <v>17</v>
      </c>
      <c r="X12" s="264">
        <v>18</v>
      </c>
      <c r="Y12" s="264">
        <v>19</v>
      </c>
      <c r="Z12" s="413">
        <v>20</v>
      </c>
      <c r="AA12" s="265" t="s">
        <v>226</v>
      </c>
      <c r="AB12" s="553">
        <v>13</v>
      </c>
      <c r="AC12" s="553"/>
      <c r="AD12" s="553">
        <v>14</v>
      </c>
      <c r="AE12" s="553"/>
      <c r="AF12" s="553">
        <v>15</v>
      </c>
      <c r="AG12" s="553"/>
      <c r="AH12" s="351">
        <v>16</v>
      </c>
      <c r="AI12" s="351">
        <v>17</v>
      </c>
      <c r="AJ12" s="351">
        <v>18</v>
      </c>
      <c r="AK12" s="351">
        <v>19</v>
      </c>
      <c r="AL12" s="265" t="s">
        <v>227</v>
      </c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</row>
    <row r="13" spans="1:72" ht="24.75" hidden="1" customHeight="1">
      <c r="A13" s="11"/>
      <c r="B13" s="204"/>
      <c r="C13" s="220"/>
      <c r="D13" s="221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66"/>
      <c r="AA13" s="416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417"/>
      <c r="AM13" s="124" t="s">
        <v>131</v>
      </c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</row>
    <row r="14" spans="1:72" ht="24.75" hidden="1" customHeight="1">
      <c r="A14" s="11"/>
      <c r="B14" s="204"/>
      <c r="C14" s="220"/>
      <c r="D14" s="221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67"/>
      <c r="AA14" s="418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419"/>
      <c r="AM14" s="124">
        <v>0</v>
      </c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</row>
    <row r="15" spans="1:72" ht="24.75" hidden="1" customHeight="1">
      <c r="A15" s="11"/>
      <c r="B15" s="204"/>
      <c r="C15" s="220"/>
      <c r="D15" s="221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67"/>
      <c r="AA15" s="418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419"/>
      <c r="AM15" s="124">
        <v>1</v>
      </c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</row>
    <row r="16" spans="1:72" ht="24.75" hidden="1" customHeight="1">
      <c r="A16" s="11"/>
      <c r="B16" s="204"/>
      <c r="C16" s="220"/>
      <c r="D16" s="221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67"/>
      <c r="AA16" s="418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419"/>
      <c r="AM16" s="124">
        <v>2</v>
      </c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</row>
    <row r="17" spans="1:52" ht="24.75" hidden="1" customHeight="1">
      <c r="A17" s="11"/>
      <c r="B17" s="204"/>
      <c r="C17" s="220"/>
      <c r="D17" s="221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67"/>
      <c r="AA17" s="418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419"/>
      <c r="AM17" s="124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</row>
    <row r="18" spans="1:52" ht="24.75" hidden="1" customHeight="1">
      <c r="A18" s="11"/>
      <c r="B18" s="204"/>
      <c r="C18" s="220"/>
      <c r="D18" s="221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67"/>
      <c r="AA18" s="418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419"/>
      <c r="AM18" s="124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</row>
    <row r="19" spans="1:52" ht="24.75" hidden="1" customHeight="1" thickBot="1">
      <c r="A19" s="11"/>
      <c r="B19" s="204"/>
      <c r="C19" s="220"/>
      <c r="D19" s="221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3"/>
      <c r="AA19" s="420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421"/>
      <c r="AM19" s="124"/>
      <c r="AN19" s="6"/>
      <c r="AO19" s="6"/>
      <c r="AP19" s="6"/>
      <c r="AQ19" s="6"/>
      <c r="AR19" s="6"/>
      <c r="AS19" s="6"/>
      <c r="AT19" s="6">
        <f>SUM(AT20:AT59)</f>
        <v>0</v>
      </c>
      <c r="AU19" s="6"/>
      <c r="AV19" s="6"/>
      <c r="AW19" s="6"/>
      <c r="AX19" s="6"/>
      <c r="AY19" s="6"/>
      <c r="AZ19" s="6"/>
    </row>
    <row r="20" spans="1:52" ht="12.75" customHeight="1" thickBot="1">
      <c r="A20" s="12">
        <f>IF('СПИСОК КЛАССА'!J20&gt;0,1,0)</f>
        <v>1</v>
      </c>
      <c r="B20" s="205">
        <v>1</v>
      </c>
      <c r="C20" s="208">
        <f>IF(NOT(ISBLANK('СПИСОК КЛАССА'!C20)),'СПИСОК КЛАССА'!C20,"")</f>
        <v>1</v>
      </c>
      <c r="D20" s="279" t="str">
        <f>IF(NOT(ISBLANK('СПИСОК КЛАССА'!D20)),IF($A20=1,'СПИСОК КЛАССА'!D20, "УЧЕНИК НЕ ВЫПОЛНЯЛ РАБОТУ"),"")</f>
        <v>АНИКЕЕВА АНАСТАСИЯ</v>
      </c>
      <c r="E20" s="410">
        <v>1</v>
      </c>
      <c r="F20" s="410">
        <v>2</v>
      </c>
      <c r="G20" s="303" t="s">
        <v>335</v>
      </c>
      <c r="H20" s="403" t="s">
        <v>346</v>
      </c>
      <c r="I20" s="403" t="s">
        <v>340</v>
      </c>
      <c r="J20" s="403" t="s">
        <v>336</v>
      </c>
      <c r="K20" s="403" t="s">
        <v>337</v>
      </c>
      <c r="L20" s="403" t="s">
        <v>338</v>
      </c>
      <c r="M20" s="403" t="s">
        <v>339</v>
      </c>
      <c r="N20" s="403" t="s">
        <v>131</v>
      </c>
      <c r="O20" s="403" t="s">
        <v>340</v>
      </c>
      <c r="P20" s="403" t="s">
        <v>341</v>
      </c>
      <c r="Q20" s="403" t="s">
        <v>342</v>
      </c>
      <c r="R20" s="403" t="s">
        <v>131</v>
      </c>
      <c r="S20" s="403" t="s">
        <v>343</v>
      </c>
      <c r="T20" s="403" t="s">
        <v>344</v>
      </c>
      <c r="U20" s="403" t="s">
        <v>131</v>
      </c>
      <c r="V20" s="403" t="s">
        <v>131</v>
      </c>
      <c r="W20" s="403" t="s">
        <v>131</v>
      </c>
      <c r="X20" s="403" t="s">
        <v>345</v>
      </c>
      <c r="Y20" s="403" t="s">
        <v>131</v>
      </c>
      <c r="Z20" s="414" t="s">
        <v>131</v>
      </c>
      <c r="AA20" s="410">
        <v>1</v>
      </c>
      <c r="AB20" s="408"/>
      <c r="AC20" s="403"/>
      <c r="AD20" s="403"/>
      <c r="AE20" s="403"/>
      <c r="AF20" s="403"/>
      <c r="AG20" s="403"/>
      <c r="AH20" s="403"/>
      <c r="AI20" s="403"/>
      <c r="AJ20" s="403"/>
      <c r="AK20" s="403"/>
      <c r="AL20" s="404">
        <v>1</v>
      </c>
      <c r="AM20" s="124"/>
      <c r="AN20" s="6"/>
      <c r="AO20" s="6"/>
      <c r="AP20" s="6"/>
      <c r="AQ20" s="6"/>
      <c r="AR20" s="6"/>
      <c r="AS20" s="6"/>
      <c r="AT20" s="6">
        <f>IF(AND(OR($C20&lt;&gt;"",$D20&lt;&gt;""),$A20=1,ISBLANK(E20))=TRUE,1,0)</f>
        <v>0</v>
      </c>
      <c r="AU20" s="6"/>
      <c r="AV20" s="6"/>
      <c r="AW20" s="6"/>
      <c r="AX20" s="6"/>
      <c r="AY20" s="6"/>
      <c r="AZ20" s="6"/>
    </row>
    <row r="21" spans="1:52" ht="12.75" customHeight="1" thickBot="1">
      <c r="A21" s="12">
        <f>IF('СПИСОК КЛАССА'!J21&gt;0,1,0)</f>
        <v>1</v>
      </c>
      <c r="B21" s="206">
        <v>2</v>
      </c>
      <c r="C21" s="209">
        <f>IF(NOT(ISBLANK('СПИСОК КЛАССА'!C21)),'СПИСОК КЛАССА'!C21,"")</f>
        <v>2</v>
      </c>
      <c r="D21" s="280" t="str">
        <f>IF(NOT(ISBLANK('СПИСОК КЛАССА'!D21)),IF($A21=1,'СПИСОК КЛАССА'!D21, "УЧЕНИК НЕ ВЫПОЛНЯЛ РАБОТУ"),"")</f>
        <v>БАБИЙ ЕВГЕНИЙ</v>
      </c>
      <c r="E21" s="411">
        <v>1</v>
      </c>
      <c r="F21" s="411">
        <v>2</v>
      </c>
      <c r="G21" s="304" t="s">
        <v>335</v>
      </c>
      <c r="H21" s="98" t="s">
        <v>346</v>
      </c>
      <c r="I21" s="98" t="s">
        <v>340</v>
      </c>
      <c r="J21" s="98" t="s">
        <v>337</v>
      </c>
      <c r="K21" s="98" t="s">
        <v>336</v>
      </c>
      <c r="L21" s="98" t="s">
        <v>338</v>
      </c>
      <c r="M21" s="98" t="s">
        <v>339</v>
      </c>
      <c r="N21" s="98" t="s">
        <v>341</v>
      </c>
      <c r="O21" s="98" t="s">
        <v>347</v>
      </c>
      <c r="P21" s="98" t="s">
        <v>348</v>
      </c>
      <c r="Q21" s="98" t="s">
        <v>342</v>
      </c>
      <c r="R21" s="98" t="s">
        <v>349</v>
      </c>
      <c r="S21" s="98" t="s">
        <v>343</v>
      </c>
      <c r="T21" s="98" t="s">
        <v>344</v>
      </c>
      <c r="U21" s="98" t="s">
        <v>350</v>
      </c>
      <c r="V21" s="98" t="s">
        <v>351</v>
      </c>
      <c r="W21" s="98" t="s">
        <v>352</v>
      </c>
      <c r="X21" s="98" t="s">
        <v>345</v>
      </c>
      <c r="Y21" s="98" t="s">
        <v>353</v>
      </c>
      <c r="Z21" s="308" t="s">
        <v>354</v>
      </c>
      <c r="AA21" s="411">
        <v>2</v>
      </c>
      <c r="AB21" s="103"/>
      <c r="AC21" s="98"/>
      <c r="AD21" s="98"/>
      <c r="AE21" s="98"/>
      <c r="AF21" s="98"/>
      <c r="AG21" s="98"/>
      <c r="AH21" s="98"/>
      <c r="AI21" s="98"/>
      <c r="AJ21" s="98"/>
      <c r="AK21" s="98"/>
      <c r="AL21" s="404">
        <v>1</v>
      </c>
      <c r="AM21" s="124"/>
      <c r="AN21" s="6"/>
      <c r="AO21" s="6"/>
      <c r="AP21" s="6"/>
      <c r="AQ21" s="6"/>
      <c r="AR21" s="6"/>
      <c r="AS21" s="6"/>
      <c r="AT21" s="6">
        <f t="shared" ref="AT21:AT59" si="0">IF(AND(OR($C21&lt;&gt;"",$D21&lt;&gt;""),$A21=1,ISBLANK(E21))=TRUE,1,0)</f>
        <v>0</v>
      </c>
      <c r="AU21" s="6"/>
      <c r="AV21" s="6"/>
      <c r="AW21" s="6"/>
      <c r="AX21" s="6"/>
      <c r="AY21" s="6"/>
      <c r="AZ21" s="6"/>
    </row>
    <row r="22" spans="1:52" ht="12.75" customHeight="1" thickBot="1">
      <c r="A22" s="12">
        <f>IF('СПИСОК КЛАССА'!J22&gt;0,1,0)</f>
        <v>1</v>
      </c>
      <c r="B22" s="206">
        <v>3</v>
      </c>
      <c r="C22" s="209">
        <f>IF(NOT(ISBLANK('СПИСОК КЛАССА'!C22)),'СПИСОК КЛАССА'!C22,"")</f>
        <v>3</v>
      </c>
      <c r="D22" s="280" t="str">
        <f>IF(NOT(ISBLANK('СПИСОК КЛАССА'!D22)),IF($A22=1,'СПИСОК КЛАССА'!D22, "УЧЕНИК НЕ ВЫПОЛНЯЛ РАБОТУ"),"")</f>
        <v>БОБЕР НАТАЛЬЯ</v>
      </c>
      <c r="E22" s="411">
        <v>1</v>
      </c>
      <c r="F22" s="411">
        <v>1</v>
      </c>
      <c r="G22" s="304" t="s">
        <v>335</v>
      </c>
      <c r="H22" s="98" t="s">
        <v>346</v>
      </c>
      <c r="I22" s="98" t="s">
        <v>338</v>
      </c>
      <c r="J22" s="98" t="s">
        <v>337</v>
      </c>
      <c r="K22" s="98" t="s">
        <v>336</v>
      </c>
      <c r="L22" s="98" t="s">
        <v>340</v>
      </c>
      <c r="M22" s="98" t="s">
        <v>339</v>
      </c>
      <c r="N22" s="98" t="s">
        <v>341</v>
      </c>
      <c r="O22" s="98" t="s">
        <v>339</v>
      </c>
      <c r="P22" s="98" t="s">
        <v>348</v>
      </c>
      <c r="Q22" s="98" t="s">
        <v>355</v>
      </c>
      <c r="R22" s="98" t="s">
        <v>349</v>
      </c>
      <c r="S22" s="98" t="s">
        <v>343</v>
      </c>
      <c r="T22" s="98" t="s">
        <v>344</v>
      </c>
      <c r="U22" s="98" t="s">
        <v>356</v>
      </c>
      <c r="V22" s="98" t="s">
        <v>131</v>
      </c>
      <c r="W22" s="98" t="s">
        <v>131</v>
      </c>
      <c r="X22" s="98" t="s">
        <v>345</v>
      </c>
      <c r="Y22" s="98" t="s">
        <v>357</v>
      </c>
      <c r="Z22" s="308" t="s">
        <v>354</v>
      </c>
      <c r="AA22" s="411">
        <v>0</v>
      </c>
      <c r="AB22" s="103"/>
      <c r="AC22" s="98"/>
      <c r="AD22" s="98"/>
      <c r="AE22" s="98"/>
      <c r="AF22" s="98"/>
      <c r="AG22" s="98"/>
      <c r="AH22" s="98"/>
      <c r="AI22" s="98"/>
      <c r="AJ22" s="98"/>
      <c r="AK22" s="98"/>
      <c r="AL22" s="404">
        <v>0</v>
      </c>
      <c r="AM22" s="124"/>
      <c r="AN22" s="6"/>
      <c r="AO22" s="6"/>
      <c r="AP22" s="6"/>
      <c r="AQ22" s="6"/>
      <c r="AR22" s="6"/>
      <c r="AS22" s="6"/>
      <c r="AT22" s="6">
        <f t="shared" si="0"/>
        <v>0</v>
      </c>
      <c r="AU22" s="6"/>
      <c r="AV22" s="6"/>
      <c r="AW22" s="6"/>
      <c r="AX22" s="6"/>
      <c r="AY22" s="6"/>
      <c r="AZ22" s="6"/>
    </row>
    <row r="23" spans="1:52" ht="12.75" customHeight="1" thickBot="1">
      <c r="A23" s="12">
        <f>IF('СПИСОК КЛАССА'!J23&gt;0,1,0)</f>
        <v>1</v>
      </c>
      <c r="B23" s="206">
        <v>4</v>
      </c>
      <c r="C23" s="209">
        <f>IF(NOT(ISBLANK('СПИСОК КЛАССА'!C23)),'СПИСОК КЛАССА'!C23,"")</f>
        <v>4</v>
      </c>
      <c r="D23" s="280" t="str">
        <f>IF(NOT(ISBLANK('СПИСОК КЛАССА'!D23)),IF($A23=1,'СПИСОК КЛАССА'!D23, "УЧЕНИК НЕ ВЫПОЛНЯЛ РАБОТУ"),"")</f>
        <v>БОГДАНОВА РОЗАЛИЯ</v>
      </c>
      <c r="E23" s="411">
        <v>2</v>
      </c>
      <c r="F23" s="411">
        <v>1</v>
      </c>
      <c r="G23" s="304" t="s">
        <v>335</v>
      </c>
      <c r="H23" s="98" t="s">
        <v>336</v>
      </c>
      <c r="I23" s="98" t="s">
        <v>340</v>
      </c>
      <c r="J23" s="98" t="s">
        <v>338</v>
      </c>
      <c r="K23" s="98" t="s">
        <v>336</v>
      </c>
      <c r="L23" s="98" t="s">
        <v>337</v>
      </c>
      <c r="M23" s="98" t="s">
        <v>348</v>
      </c>
      <c r="N23" s="98" t="s">
        <v>341</v>
      </c>
      <c r="O23" s="98" t="s">
        <v>347</v>
      </c>
      <c r="P23" s="98" t="s">
        <v>348</v>
      </c>
      <c r="Q23" s="98" t="s">
        <v>342</v>
      </c>
      <c r="R23" s="98" t="s">
        <v>358</v>
      </c>
      <c r="S23" s="98" t="s">
        <v>359</v>
      </c>
      <c r="T23" s="98" t="s">
        <v>344</v>
      </c>
      <c r="U23" s="98" t="s">
        <v>350</v>
      </c>
      <c r="V23" s="98" t="s">
        <v>360</v>
      </c>
      <c r="W23" s="98" t="s">
        <v>361</v>
      </c>
      <c r="X23" s="98" t="s">
        <v>345</v>
      </c>
      <c r="Y23" s="98" t="s">
        <v>357</v>
      </c>
      <c r="Z23" s="308" t="s">
        <v>362</v>
      </c>
      <c r="AA23" s="411">
        <v>1</v>
      </c>
      <c r="AB23" s="103"/>
      <c r="AC23" s="98"/>
      <c r="AD23" s="98"/>
      <c r="AE23" s="98"/>
      <c r="AF23" s="98"/>
      <c r="AG23" s="98"/>
      <c r="AH23" s="98"/>
      <c r="AI23" s="98"/>
      <c r="AJ23" s="98"/>
      <c r="AK23" s="98"/>
      <c r="AL23" s="404">
        <v>0</v>
      </c>
      <c r="AM23" s="124"/>
      <c r="AN23" s="6"/>
      <c r="AO23" s="6"/>
      <c r="AP23" s="6"/>
      <c r="AQ23" s="6"/>
      <c r="AR23" s="6"/>
      <c r="AS23" s="6"/>
      <c r="AT23" s="6">
        <f t="shared" si="0"/>
        <v>0</v>
      </c>
      <c r="AU23" s="6"/>
      <c r="AV23" s="6"/>
      <c r="AW23" s="6"/>
      <c r="AX23" s="6"/>
      <c r="AY23" s="6"/>
      <c r="AZ23" s="6"/>
    </row>
    <row r="24" spans="1:52" ht="12.75" customHeight="1" thickBot="1">
      <c r="A24" s="12">
        <f>IF('СПИСОК КЛАССА'!J24&gt;0,1,0)</f>
        <v>1</v>
      </c>
      <c r="B24" s="206">
        <v>5</v>
      </c>
      <c r="C24" s="209">
        <f>IF(NOT(ISBLANK('СПИСОК КЛАССА'!C24)),'СПИСОК КЛАССА'!C24,"")</f>
        <v>5</v>
      </c>
      <c r="D24" s="280" t="str">
        <f>IF(NOT(ISBLANK('СПИСОК КЛАССА'!D24)),IF($A24=1,'СПИСОК КЛАССА'!D24, "УЧЕНИК НЕ ВЫПОЛНЯЛ РАБОТУ"),"")</f>
        <v>ВАЩЕНКОВ ЕВГЕНИЙ</v>
      </c>
      <c r="E24" s="411">
        <v>1</v>
      </c>
      <c r="F24" s="411">
        <v>1</v>
      </c>
      <c r="G24" s="304" t="s">
        <v>371</v>
      </c>
      <c r="H24" s="98" t="s">
        <v>363</v>
      </c>
      <c r="I24" s="98" t="s">
        <v>372</v>
      </c>
      <c r="J24" s="98" t="s">
        <v>339</v>
      </c>
      <c r="K24" s="98" t="s">
        <v>364</v>
      </c>
      <c r="L24" s="98" t="s">
        <v>365</v>
      </c>
      <c r="M24" s="98" t="s">
        <v>374</v>
      </c>
      <c r="N24" s="98" t="s">
        <v>131</v>
      </c>
      <c r="O24" s="98" t="s">
        <v>131</v>
      </c>
      <c r="P24" s="98" t="s">
        <v>348</v>
      </c>
      <c r="Q24" s="98" t="s">
        <v>366</v>
      </c>
      <c r="R24" s="98" t="s">
        <v>367</v>
      </c>
      <c r="S24" s="98" t="s">
        <v>345</v>
      </c>
      <c r="T24" s="98" t="s">
        <v>368</v>
      </c>
      <c r="U24" s="98" t="s">
        <v>131</v>
      </c>
      <c r="V24" s="98" t="s">
        <v>344</v>
      </c>
      <c r="W24" s="98" t="s">
        <v>369</v>
      </c>
      <c r="X24" s="98" t="s">
        <v>131</v>
      </c>
      <c r="Y24" s="98" t="s">
        <v>370</v>
      </c>
      <c r="Z24" s="308" t="s">
        <v>131</v>
      </c>
      <c r="AA24" s="411">
        <v>0</v>
      </c>
      <c r="AB24" s="103"/>
      <c r="AC24" s="98"/>
      <c r="AD24" s="98"/>
      <c r="AE24" s="98"/>
      <c r="AF24" s="98"/>
      <c r="AG24" s="98"/>
      <c r="AH24" s="98"/>
      <c r="AI24" s="98"/>
      <c r="AJ24" s="98"/>
      <c r="AK24" s="98"/>
      <c r="AL24" s="404">
        <v>0</v>
      </c>
      <c r="AM24" s="124"/>
      <c r="AN24" s="6"/>
      <c r="AO24" s="6"/>
      <c r="AP24" s="6"/>
      <c r="AQ24" s="6"/>
      <c r="AR24" s="6"/>
      <c r="AS24" s="6"/>
      <c r="AT24" s="6">
        <f t="shared" si="0"/>
        <v>0</v>
      </c>
      <c r="AU24" s="6"/>
      <c r="AV24" s="6"/>
      <c r="AW24" s="6"/>
      <c r="AX24" s="6"/>
      <c r="AY24" s="6"/>
      <c r="AZ24" s="6"/>
    </row>
    <row r="25" spans="1:52" ht="12.75" customHeight="1">
      <c r="A25" s="12">
        <f>IF('СПИСОК КЛАССА'!J25&gt;0,1,0)</f>
        <v>1</v>
      </c>
      <c r="B25" s="206">
        <v>6</v>
      </c>
      <c r="C25" s="209">
        <f>IF(NOT(ISBLANK('СПИСОК КЛАССА'!C25)),'СПИСОК КЛАССА'!C25,"")</f>
        <v>6</v>
      </c>
      <c r="D25" s="280" t="str">
        <f>IF(NOT(ISBLANK('СПИСОК КЛАССА'!D25)),IF($A25=1,'СПИСОК КЛАССА'!D25, "УЧЕНИК НЕ ВЫПОЛНЯЛ РАБОТУ"),"")</f>
        <v>ГРАЧЕВА ЯРОСЛАВА</v>
      </c>
      <c r="E25" s="411">
        <v>3</v>
      </c>
      <c r="F25" s="411">
        <v>3</v>
      </c>
      <c r="G25" s="304" t="s">
        <v>371</v>
      </c>
      <c r="H25" s="98" t="s">
        <v>363</v>
      </c>
      <c r="I25" s="98" t="s">
        <v>372</v>
      </c>
      <c r="J25" s="98" t="s">
        <v>364</v>
      </c>
      <c r="K25" s="98" t="s">
        <v>339</v>
      </c>
      <c r="L25" s="98" t="s">
        <v>365</v>
      </c>
      <c r="M25" s="98" t="s">
        <v>373</v>
      </c>
      <c r="N25" s="98" t="s">
        <v>374</v>
      </c>
      <c r="O25" s="98" t="s">
        <v>375</v>
      </c>
      <c r="P25" s="98" t="s">
        <v>376</v>
      </c>
      <c r="Q25" s="98" t="s">
        <v>366</v>
      </c>
      <c r="R25" s="98" t="s">
        <v>343</v>
      </c>
      <c r="S25" s="98" t="s">
        <v>345</v>
      </c>
      <c r="T25" s="98" t="s">
        <v>377</v>
      </c>
      <c r="U25" s="98" t="s">
        <v>378</v>
      </c>
      <c r="V25" s="98" t="s">
        <v>344</v>
      </c>
      <c r="W25" s="98" t="s">
        <v>369</v>
      </c>
      <c r="X25" s="98" t="s">
        <v>379</v>
      </c>
      <c r="Y25" s="98" t="s">
        <v>370</v>
      </c>
      <c r="Z25" s="308" t="s">
        <v>380</v>
      </c>
      <c r="AA25" s="411">
        <v>2</v>
      </c>
      <c r="AB25" s="103"/>
      <c r="AC25" s="98"/>
      <c r="AD25" s="98"/>
      <c r="AE25" s="98"/>
      <c r="AF25" s="98"/>
      <c r="AG25" s="98"/>
      <c r="AH25" s="98"/>
      <c r="AI25" s="98"/>
      <c r="AJ25" s="98"/>
      <c r="AK25" s="98"/>
      <c r="AL25" s="404">
        <v>1</v>
      </c>
      <c r="AM25" s="125"/>
      <c r="AN25" s="6"/>
      <c r="AO25" s="6"/>
      <c r="AP25" s="6"/>
      <c r="AQ25" s="6"/>
      <c r="AR25" s="6"/>
      <c r="AS25" s="6"/>
      <c r="AT25" s="6">
        <f t="shared" si="0"/>
        <v>0</v>
      </c>
      <c r="AU25" s="6"/>
      <c r="AV25" s="6"/>
      <c r="AW25" s="6"/>
      <c r="AX25" s="6"/>
      <c r="AY25" s="6"/>
      <c r="AZ25" s="6"/>
    </row>
    <row r="26" spans="1:52" ht="12.75" customHeight="1">
      <c r="A26" s="12">
        <f>IF('СПИСОК КЛАССА'!J26&gt;0,1,0)</f>
        <v>1</v>
      </c>
      <c r="B26" s="206">
        <v>7</v>
      </c>
      <c r="C26" s="209">
        <f>IF(NOT(ISBLANK('СПИСОК КЛАССА'!C26)),'СПИСОК КЛАССА'!C26,"")</f>
        <v>7</v>
      </c>
      <c r="D26" s="280" t="str">
        <f>IF(NOT(ISBLANK('СПИСОК КЛАССА'!D26)),IF($A26=1,'СПИСОК КЛАССА'!D26, "УЧЕНИК НЕ ВЫПОЛНЯЛ РАБОТУ"),"")</f>
        <v>ДЕМИДОВ ИВАН</v>
      </c>
      <c r="E26" s="411">
        <v>3</v>
      </c>
      <c r="F26" s="411">
        <v>3</v>
      </c>
      <c r="G26" s="304" t="s">
        <v>371</v>
      </c>
      <c r="H26" s="98" t="s">
        <v>131</v>
      </c>
      <c r="I26" s="98" t="s">
        <v>372</v>
      </c>
      <c r="J26" s="98" t="s">
        <v>364</v>
      </c>
      <c r="K26" s="98" t="s">
        <v>339</v>
      </c>
      <c r="L26" s="98" t="s">
        <v>363</v>
      </c>
      <c r="M26" s="98" t="s">
        <v>131</v>
      </c>
      <c r="N26" s="98" t="s">
        <v>374</v>
      </c>
      <c r="O26" s="98" t="s">
        <v>373</v>
      </c>
      <c r="P26" s="98" t="s">
        <v>381</v>
      </c>
      <c r="Q26" s="98" t="s">
        <v>382</v>
      </c>
      <c r="R26" s="98" t="s">
        <v>383</v>
      </c>
      <c r="S26" s="98" t="s">
        <v>384</v>
      </c>
      <c r="T26" s="98" t="s">
        <v>368</v>
      </c>
      <c r="U26" s="98" t="s">
        <v>385</v>
      </c>
      <c r="V26" s="98" t="s">
        <v>386</v>
      </c>
      <c r="W26" s="98" t="s">
        <v>387</v>
      </c>
      <c r="X26" s="98" t="s">
        <v>388</v>
      </c>
      <c r="Y26" s="98" t="s">
        <v>370</v>
      </c>
      <c r="Z26" s="308" t="s">
        <v>389</v>
      </c>
      <c r="AA26" s="411">
        <v>0</v>
      </c>
      <c r="AB26" s="103"/>
      <c r="AC26" s="98"/>
      <c r="AD26" s="98"/>
      <c r="AE26" s="98"/>
      <c r="AF26" s="98"/>
      <c r="AG26" s="98"/>
      <c r="AH26" s="98"/>
      <c r="AI26" s="98"/>
      <c r="AJ26" s="98"/>
      <c r="AK26" s="98"/>
      <c r="AL26" s="305">
        <v>0</v>
      </c>
      <c r="AM26" s="6"/>
      <c r="AN26" s="6"/>
      <c r="AO26" s="6"/>
      <c r="AP26" s="6"/>
      <c r="AQ26" s="6"/>
      <c r="AR26" s="6"/>
      <c r="AS26" s="6"/>
      <c r="AT26" s="6">
        <f t="shared" si="0"/>
        <v>0</v>
      </c>
      <c r="AU26" s="6"/>
      <c r="AV26" s="6"/>
      <c r="AW26" s="6"/>
      <c r="AX26" s="6"/>
      <c r="AY26" s="6"/>
      <c r="AZ26" s="6"/>
    </row>
    <row r="27" spans="1:52" ht="12.75" customHeight="1">
      <c r="A27" s="12">
        <f>IF('СПИСОК КЛАССА'!J27&gt;0,1,0)</f>
        <v>1</v>
      </c>
      <c r="B27" s="206">
        <v>8</v>
      </c>
      <c r="C27" s="209">
        <f>IF(NOT(ISBLANK('СПИСОК КЛАССА'!C27)),'СПИСОК КЛАССА'!C27,"")</f>
        <v>8</v>
      </c>
      <c r="D27" s="280" t="str">
        <f>IF(NOT(ISBLANK('СПИСОК КЛАССА'!D27)),IF($A27=1,'СПИСОК КЛАССА'!D27, "УЧЕНИК НЕ ВЫПОЛНЯЛ РАБОТУ"),"")</f>
        <v>ДМИТРИЕВА АРИНА</v>
      </c>
      <c r="E27" s="411">
        <v>1</v>
      </c>
      <c r="F27" s="411">
        <v>2</v>
      </c>
      <c r="G27" s="304" t="s">
        <v>335</v>
      </c>
      <c r="H27" s="98" t="s">
        <v>346</v>
      </c>
      <c r="I27" s="98" t="s">
        <v>339</v>
      </c>
      <c r="J27" s="98" t="s">
        <v>337</v>
      </c>
      <c r="K27" s="98" t="s">
        <v>347</v>
      </c>
      <c r="L27" s="98" t="s">
        <v>338</v>
      </c>
      <c r="M27" s="98" t="s">
        <v>339</v>
      </c>
      <c r="N27" s="98" t="s">
        <v>341</v>
      </c>
      <c r="O27" s="98" t="s">
        <v>347</v>
      </c>
      <c r="P27" s="98" t="s">
        <v>346</v>
      </c>
      <c r="Q27" s="98" t="s">
        <v>342</v>
      </c>
      <c r="R27" s="98" t="s">
        <v>390</v>
      </c>
      <c r="S27" s="98" t="s">
        <v>343</v>
      </c>
      <c r="T27" s="98" t="s">
        <v>344</v>
      </c>
      <c r="U27" s="98" t="s">
        <v>350</v>
      </c>
      <c r="V27" s="98" t="s">
        <v>351</v>
      </c>
      <c r="W27" s="98" t="s">
        <v>361</v>
      </c>
      <c r="X27" s="98" t="s">
        <v>345</v>
      </c>
      <c r="Y27" s="98" t="s">
        <v>353</v>
      </c>
      <c r="Z27" s="308" t="s">
        <v>354</v>
      </c>
      <c r="AA27" s="411">
        <v>1</v>
      </c>
      <c r="AB27" s="411">
        <v>1</v>
      </c>
      <c r="AC27" s="411">
        <v>1</v>
      </c>
      <c r="AD27" s="411">
        <v>1</v>
      </c>
      <c r="AE27" s="411">
        <v>1</v>
      </c>
      <c r="AF27" s="411">
        <v>1</v>
      </c>
      <c r="AG27" s="411">
        <v>1</v>
      </c>
      <c r="AH27" s="411">
        <v>1</v>
      </c>
      <c r="AI27" s="411">
        <v>1</v>
      </c>
      <c r="AJ27" s="411">
        <v>1</v>
      </c>
      <c r="AK27" s="411">
        <v>1</v>
      </c>
      <c r="AL27" s="411">
        <v>1</v>
      </c>
      <c r="AM27" s="6"/>
      <c r="AN27" s="6"/>
      <c r="AO27" s="6"/>
      <c r="AP27" s="6"/>
      <c r="AQ27" s="6"/>
      <c r="AR27" s="6"/>
      <c r="AS27" s="6"/>
      <c r="AT27" s="6">
        <f t="shared" si="0"/>
        <v>0</v>
      </c>
      <c r="AU27" s="6"/>
      <c r="AV27" s="6"/>
      <c r="AW27" s="6"/>
      <c r="AX27" s="6"/>
      <c r="AY27" s="6"/>
      <c r="AZ27" s="6"/>
    </row>
    <row r="28" spans="1:52" ht="12.75" customHeight="1">
      <c r="A28" s="12">
        <f>IF('СПИСОК КЛАССА'!J28&gt;0,1,0)</f>
        <v>1</v>
      </c>
      <c r="B28" s="206">
        <v>9</v>
      </c>
      <c r="C28" s="209">
        <f>IF(NOT(ISBLANK('СПИСОК КЛАССА'!C28)),'СПИСОК КЛАССА'!C28,"")</f>
        <v>9</v>
      </c>
      <c r="D28" s="280" t="str">
        <f>IF(NOT(ISBLANK('СПИСОК КЛАССА'!D28)),IF($A28=1,'СПИСОК КЛАССА'!D28, "УЧЕНИК НЕ ВЫПОЛНЯЛ РАБОТУ"),"")</f>
        <v>ЖУК ВЛАДИМИР</v>
      </c>
      <c r="E28" s="411">
        <v>3</v>
      </c>
      <c r="F28" s="411">
        <v>3</v>
      </c>
      <c r="G28" s="304" t="s">
        <v>371</v>
      </c>
      <c r="H28" s="98" t="s">
        <v>363</v>
      </c>
      <c r="I28" s="98" t="s">
        <v>372</v>
      </c>
      <c r="J28" s="98" t="s">
        <v>364</v>
      </c>
      <c r="K28" s="98" t="s">
        <v>339</v>
      </c>
      <c r="L28" s="98" t="s">
        <v>365</v>
      </c>
      <c r="M28" s="98" t="s">
        <v>375</v>
      </c>
      <c r="N28" s="98" t="s">
        <v>373</v>
      </c>
      <c r="O28" s="98" t="s">
        <v>376</v>
      </c>
      <c r="P28" s="98" t="s">
        <v>374</v>
      </c>
      <c r="Q28" s="98" t="s">
        <v>366</v>
      </c>
      <c r="R28" s="98" t="s">
        <v>367</v>
      </c>
      <c r="S28" s="98" t="s">
        <v>345</v>
      </c>
      <c r="T28" s="98" t="s">
        <v>377</v>
      </c>
      <c r="U28" s="98" t="s">
        <v>378</v>
      </c>
      <c r="V28" s="98" t="s">
        <v>344</v>
      </c>
      <c r="W28" s="98" t="s">
        <v>391</v>
      </c>
      <c r="X28" s="98" t="s">
        <v>379</v>
      </c>
      <c r="Y28" s="98" t="s">
        <v>370</v>
      </c>
      <c r="Z28" s="308" t="s">
        <v>380</v>
      </c>
      <c r="AA28" s="411">
        <v>2</v>
      </c>
      <c r="AB28" s="103"/>
      <c r="AC28" s="98"/>
      <c r="AD28" s="98"/>
      <c r="AE28" s="98"/>
      <c r="AF28" s="98"/>
      <c r="AG28" s="98"/>
      <c r="AH28" s="98"/>
      <c r="AI28" s="98"/>
      <c r="AJ28" s="98"/>
      <c r="AK28" s="98"/>
      <c r="AL28" s="411">
        <v>1</v>
      </c>
      <c r="AM28" s="6"/>
      <c r="AN28" s="6"/>
      <c r="AO28" s="6"/>
      <c r="AP28" s="6"/>
      <c r="AQ28" s="6"/>
      <c r="AR28" s="6"/>
      <c r="AS28" s="6"/>
      <c r="AT28" s="6">
        <f t="shared" si="0"/>
        <v>0</v>
      </c>
      <c r="AU28" s="6"/>
      <c r="AV28" s="6"/>
      <c r="AW28" s="6"/>
      <c r="AX28" s="6"/>
      <c r="AY28" s="6"/>
      <c r="AZ28" s="6"/>
    </row>
    <row r="29" spans="1:52" ht="12.75" customHeight="1">
      <c r="A29" s="12">
        <f>IF('СПИСОК КЛАССА'!J29&gt;0,1,0)</f>
        <v>1</v>
      </c>
      <c r="B29" s="206">
        <v>10</v>
      </c>
      <c r="C29" s="209">
        <f>IF(NOT(ISBLANK('СПИСОК КЛАССА'!C29)),'СПИСОК КЛАССА'!C29,"")</f>
        <v>10</v>
      </c>
      <c r="D29" s="280" t="str">
        <f>IF(NOT(ISBLANK('СПИСОК КЛАССА'!D29)),IF($A29=1,'СПИСОК КЛАССА'!D29, "УЧЕНИК НЕ ВЫПОЛНЯЛ РАБОТУ"),"")</f>
        <v>ЗАЛАЗНЫЙ РОМАН</v>
      </c>
      <c r="E29" s="411">
        <v>1</v>
      </c>
      <c r="F29" s="411">
        <v>2</v>
      </c>
      <c r="G29" s="304" t="s">
        <v>335</v>
      </c>
      <c r="H29" s="98" t="s">
        <v>346</v>
      </c>
      <c r="I29" s="98" t="s">
        <v>340</v>
      </c>
      <c r="J29" s="98" t="s">
        <v>337</v>
      </c>
      <c r="K29" s="98" t="s">
        <v>336</v>
      </c>
      <c r="L29" s="98" t="s">
        <v>338</v>
      </c>
      <c r="M29" s="98" t="s">
        <v>339</v>
      </c>
      <c r="N29" s="98" t="s">
        <v>341</v>
      </c>
      <c r="O29" s="98" t="s">
        <v>347</v>
      </c>
      <c r="P29" s="98" t="s">
        <v>348</v>
      </c>
      <c r="Q29" s="98" t="s">
        <v>342</v>
      </c>
      <c r="R29" s="98" t="s">
        <v>349</v>
      </c>
      <c r="S29" s="98" t="s">
        <v>367</v>
      </c>
      <c r="T29" s="98" t="s">
        <v>344</v>
      </c>
      <c r="U29" s="98" t="s">
        <v>350</v>
      </c>
      <c r="V29" s="98" t="s">
        <v>351</v>
      </c>
      <c r="W29" s="98" t="s">
        <v>352</v>
      </c>
      <c r="X29" s="98" t="s">
        <v>345</v>
      </c>
      <c r="Y29" s="98" t="s">
        <v>353</v>
      </c>
      <c r="Z29" s="308" t="s">
        <v>354</v>
      </c>
      <c r="AA29" s="411">
        <v>1</v>
      </c>
      <c r="AB29" s="103"/>
      <c r="AC29" s="98"/>
      <c r="AD29" s="98"/>
      <c r="AE29" s="98"/>
      <c r="AF29" s="98"/>
      <c r="AG29" s="98"/>
      <c r="AH29" s="98"/>
      <c r="AI29" s="98"/>
      <c r="AJ29" s="98"/>
      <c r="AK29" s="98"/>
      <c r="AL29" s="411">
        <v>1</v>
      </c>
      <c r="AM29" s="6"/>
      <c r="AN29" s="6"/>
      <c r="AO29" s="6"/>
      <c r="AP29" s="6"/>
      <c r="AQ29" s="6"/>
      <c r="AR29" s="6"/>
      <c r="AS29" s="6"/>
      <c r="AT29" s="6">
        <f t="shared" si="0"/>
        <v>0</v>
      </c>
      <c r="AU29" s="6"/>
      <c r="AV29" s="6"/>
      <c r="AW29" s="6"/>
      <c r="AX29" s="6"/>
      <c r="AY29" s="6"/>
      <c r="AZ29" s="6"/>
    </row>
    <row r="30" spans="1:52" ht="12.75" customHeight="1">
      <c r="A30" s="12">
        <f>IF('СПИСОК КЛАССА'!J30&gt;0,1,0)</f>
        <v>1</v>
      </c>
      <c r="B30" s="206">
        <v>11</v>
      </c>
      <c r="C30" s="209">
        <f>IF(NOT(ISBLANK('СПИСОК КЛАССА'!C30)),'СПИСОК КЛАССА'!C30,"")</f>
        <v>11</v>
      </c>
      <c r="D30" s="280" t="str">
        <f>IF(NOT(ISBLANK('СПИСОК КЛАССА'!D30)),IF($A30=1,'СПИСОК КЛАССА'!D30, "УЧЕНИК НЕ ВЫПОЛНЯЛ РАБОТУ"),"")</f>
        <v>ЗВИАДАДЗЕ ЕКАТЕРИНА</v>
      </c>
      <c r="E30" s="411">
        <v>3</v>
      </c>
      <c r="F30" s="411">
        <v>3</v>
      </c>
      <c r="G30" s="304" t="s">
        <v>371</v>
      </c>
      <c r="H30" s="98" t="s">
        <v>363</v>
      </c>
      <c r="I30" s="98" t="s">
        <v>372</v>
      </c>
      <c r="J30" s="98" t="s">
        <v>364</v>
      </c>
      <c r="K30" s="98" t="s">
        <v>339</v>
      </c>
      <c r="L30" s="98" t="s">
        <v>375</v>
      </c>
      <c r="M30" s="98" t="s">
        <v>364</v>
      </c>
      <c r="N30" s="98" t="s">
        <v>376</v>
      </c>
      <c r="O30" s="98" t="s">
        <v>374</v>
      </c>
      <c r="P30" s="98" t="s">
        <v>365</v>
      </c>
      <c r="Q30" s="98" t="s">
        <v>366</v>
      </c>
      <c r="R30" s="98" t="s">
        <v>343</v>
      </c>
      <c r="S30" s="98" t="s">
        <v>345</v>
      </c>
      <c r="T30" s="98" t="s">
        <v>377</v>
      </c>
      <c r="U30" s="98" t="s">
        <v>378</v>
      </c>
      <c r="V30" s="98" t="s">
        <v>344</v>
      </c>
      <c r="W30" s="98" t="s">
        <v>391</v>
      </c>
      <c r="X30" s="98" t="s">
        <v>379</v>
      </c>
      <c r="Y30" s="98" t="s">
        <v>370</v>
      </c>
      <c r="Z30" s="308" t="s">
        <v>389</v>
      </c>
      <c r="AA30" s="411">
        <v>1</v>
      </c>
      <c r="AB30" s="103"/>
      <c r="AC30" s="98"/>
      <c r="AD30" s="98"/>
      <c r="AE30" s="98"/>
      <c r="AF30" s="98"/>
      <c r="AG30" s="98"/>
      <c r="AH30" s="98"/>
      <c r="AI30" s="98"/>
      <c r="AJ30" s="98"/>
      <c r="AK30" s="98"/>
      <c r="AL30" s="411">
        <v>1</v>
      </c>
      <c r="AM30" s="6"/>
      <c r="AN30" s="6"/>
      <c r="AO30" s="6"/>
      <c r="AP30" s="6"/>
      <c r="AQ30" s="6"/>
      <c r="AR30" s="6"/>
      <c r="AS30" s="6"/>
      <c r="AT30" s="6">
        <f t="shared" si="0"/>
        <v>0</v>
      </c>
      <c r="AU30" s="6"/>
      <c r="AV30" s="6"/>
      <c r="AW30" s="6"/>
      <c r="AX30" s="6"/>
      <c r="AY30" s="6"/>
      <c r="AZ30" s="6"/>
    </row>
    <row r="31" spans="1:52" ht="12.75" customHeight="1">
      <c r="A31" s="12">
        <f>IF('СПИСОК КЛАССА'!J31&gt;0,1,0)</f>
        <v>1</v>
      </c>
      <c r="B31" s="206">
        <v>12</v>
      </c>
      <c r="C31" s="209">
        <f>IF(NOT(ISBLANK('СПИСОК КЛАССА'!C31)),'СПИСОК КЛАССА'!C31,"")</f>
        <v>12</v>
      </c>
      <c r="D31" s="280" t="str">
        <f>IF(NOT(ISBLANK('СПИСОК КЛАССА'!D31)),IF($A31=1,'СПИСОК КЛАССА'!D31, "УЧЕНИК НЕ ВЫПОЛНЯЛ РАБОТУ"),"")</f>
        <v>ИГНАТЬЕВ ЕВГЕНИЙ</v>
      </c>
      <c r="E31" s="411">
        <v>3</v>
      </c>
      <c r="F31" s="411">
        <v>3</v>
      </c>
      <c r="G31" s="304" t="s">
        <v>371</v>
      </c>
      <c r="H31" s="98" t="s">
        <v>363</v>
      </c>
      <c r="I31" s="98" t="s">
        <v>372</v>
      </c>
      <c r="J31" s="98" t="s">
        <v>364</v>
      </c>
      <c r="K31" s="98" t="s">
        <v>339</v>
      </c>
      <c r="L31" s="98" t="s">
        <v>373</v>
      </c>
      <c r="M31" s="98" t="s">
        <v>364</v>
      </c>
      <c r="N31" s="98" t="s">
        <v>375</v>
      </c>
      <c r="O31" s="98" t="s">
        <v>339</v>
      </c>
      <c r="P31" s="98" t="s">
        <v>374</v>
      </c>
      <c r="Q31" s="98" t="s">
        <v>366</v>
      </c>
      <c r="R31" s="98" t="s">
        <v>343</v>
      </c>
      <c r="S31" s="98" t="s">
        <v>345</v>
      </c>
      <c r="T31" s="98" t="s">
        <v>392</v>
      </c>
      <c r="U31" s="98" t="s">
        <v>393</v>
      </c>
      <c r="V31" s="98" t="s">
        <v>394</v>
      </c>
      <c r="W31" s="98" t="s">
        <v>391</v>
      </c>
      <c r="X31" s="98" t="s">
        <v>395</v>
      </c>
      <c r="Y31" s="98" t="s">
        <v>370</v>
      </c>
      <c r="Z31" s="308" t="s">
        <v>131</v>
      </c>
      <c r="AA31" s="411">
        <v>1</v>
      </c>
      <c r="AB31" s="103"/>
      <c r="AC31" s="98"/>
      <c r="AD31" s="98"/>
      <c r="AE31" s="98"/>
      <c r="AF31" s="98"/>
      <c r="AG31" s="98"/>
      <c r="AH31" s="98"/>
      <c r="AI31" s="98"/>
      <c r="AJ31" s="98"/>
      <c r="AK31" s="98"/>
      <c r="AL31" s="411">
        <v>1</v>
      </c>
      <c r="AM31" s="6"/>
      <c r="AN31" s="6"/>
      <c r="AO31" s="6"/>
      <c r="AP31" s="6"/>
      <c r="AQ31" s="6"/>
      <c r="AR31" s="6"/>
      <c r="AS31" s="6"/>
      <c r="AT31" s="6">
        <f t="shared" si="0"/>
        <v>0</v>
      </c>
      <c r="AU31" s="6"/>
      <c r="AV31" s="6"/>
      <c r="AW31" s="6"/>
      <c r="AX31" s="6"/>
      <c r="AY31" s="6"/>
      <c r="AZ31" s="6"/>
    </row>
    <row r="32" spans="1:52" ht="12.75" customHeight="1">
      <c r="A32" s="12">
        <f>IF('СПИСОК КЛАССА'!J32&gt;0,1,0)</f>
        <v>1</v>
      </c>
      <c r="B32" s="206">
        <v>13</v>
      </c>
      <c r="C32" s="209">
        <f>IF(NOT(ISBLANK('СПИСОК КЛАССА'!C32)),'СПИСОК КЛАССА'!C32,"")</f>
        <v>13</v>
      </c>
      <c r="D32" s="280" t="str">
        <f>IF(NOT(ISBLANK('СПИСОК КЛАССА'!D32)),IF($A32=1,'СПИСОК КЛАССА'!D32, "УЧЕНИК НЕ ВЫПОЛНЯЛ РАБОТУ"),"")</f>
        <v>КАНТЕМИРОВА ПОЛИНА</v>
      </c>
      <c r="E32" s="411">
        <v>1</v>
      </c>
      <c r="F32" s="411">
        <v>1</v>
      </c>
      <c r="G32" s="304" t="s">
        <v>371</v>
      </c>
      <c r="H32" s="98" t="s">
        <v>363</v>
      </c>
      <c r="I32" s="98" t="s">
        <v>365</v>
      </c>
      <c r="J32" s="98" t="s">
        <v>364</v>
      </c>
      <c r="K32" s="98" t="s">
        <v>339</v>
      </c>
      <c r="L32" s="98" t="s">
        <v>373</v>
      </c>
      <c r="M32" s="98" t="s">
        <v>374</v>
      </c>
      <c r="N32" s="98" t="s">
        <v>374</v>
      </c>
      <c r="O32" s="98" t="s">
        <v>372</v>
      </c>
      <c r="P32" s="98" t="s">
        <v>376</v>
      </c>
      <c r="Q32" s="98" t="s">
        <v>396</v>
      </c>
      <c r="R32" s="98" t="s">
        <v>131</v>
      </c>
      <c r="S32" s="98" t="s">
        <v>384</v>
      </c>
      <c r="T32" s="98" t="s">
        <v>377</v>
      </c>
      <c r="U32" s="98" t="s">
        <v>397</v>
      </c>
      <c r="V32" s="98" t="s">
        <v>398</v>
      </c>
      <c r="W32" s="98" t="s">
        <v>399</v>
      </c>
      <c r="X32" s="98" t="s">
        <v>379</v>
      </c>
      <c r="Y32" s="98" t="s">
        <v>370</v>
      </c>
      <c r="Z32" s="308" t="s">
        <v>364</v>
      </c>
      <c r="AA32" s="411">
        <v>1</v>
      </c>
      <c r="AB32" s="103"/>
      <c r="AC32" s="98"/>
      <c r="AD32" s="98"/>
      <c r="AE32" s="98"/>
      <c r="AF32" s="98"/>
      <c r="AG32" s="98"/>
      <c r="AH32" s="98"/>
      <c r="AI32" s="98"/>
      <c r="AJ32" s="98"/>
      <c r="AK32" s="98"/>
      <c r="AL32" s="411">
        <v>0</v>
      </c>
      <c r="AM32" s="6"/>
      <c r="AN32" s="6"/>
      <c r="AO32" s="6"/>
      <c r="AP32" s="6"/>
      <c r="AQ32" s="6"/>
      <c r="AR32" s="6"/>
      <c r="AS32" s="6"/>
      <c r="AT32" s="6">
        <f t="shared" si="0"/>
        <v>0</v>
      </c>
      <c r="AU32" s="6"/>
      <c r="AV32" s="6"/>
      <c r="AW32" s="6"/>
      <c r="AX32" s="6"/>
      <c r="AY32" s="6"/>
      <c r="AZ32" s="6"/>
    </row>
    <row r="33" spans="1:52" ht="12.75" customHeight="1">
      <c r="A33" s="12">
        <f>IF('СПИСОК КЛАССА'!J33&gt;0,1,0)</f>
        <v>1</v>
      </c>
      <c r="B33" s="206">
        <v>14</v>
      </c>
      <c r="C33" s="209">
        <f>IF(NOT(ISBLANK('СПИСОК КЛАССА'!C33)),'СПИСОК КЛАССА'!C33,"")</f>
        <v>14</v>
      </c>
      <c r="D33" s="280" t="str">
        <f>IF(NOT(ISBLANK('СПИСОК КЛАССА'!D33)),IF($A33=1,'СПИСОК КЛАССА'!D33, "УЧЕНИК НЕ ВЫПОЛНЯЛ РАБОТУ"),"")</f>
        <v>КАРПОВА АНАСТАСИЯ</v>
      </c>
      <c r="E33" s="411">
        <v>3</v>
      </c>
      <c r="F33" s="411">
        <v>3</v>
      </c>
      <c r="G33" s="304" t="s">
        <v>371</v>
      </c>
      <c r="H33" s="98" t="s">
        <v>363</v>
      </c>
      <c r="I33" s="98" t="s">
        <v>373</v>
      </c>
      <c r="J33" s="98" t="s">
        <v>364</v>
      </c>
      <c r="K33" s="98" t="s">
        <v>339</v>
      </c>
      <c r="L33" s="98" t="s">
        <v>363</v>
      </c>
      <c r="M33" s="98" t="s">
        <v>364</v>
      </c>
      <c r="N33" s="98" t="s">
        <v>374</v>
      </c>
      <c r="O33" s="98" t="s">
        <v>372</v>
      </c>
      <c r="P33" s="98" t="s">
        <v>376</v>
      </c>
      <c r="Q33" s="98" t="s">
        <v>400</v>
      </c>
      <c r="R33" s="98" t="s">
        <v>343</v>
      </c>
      <c r="S33" s="98" t="s">
        <v>345</v>
      </c>
      <c r="T33" s="98" t="s">
        <v>401</v>
      </c>
      <c r="U33" s="98" t="s">
        <v>402</v>
      </c>
      <c r="V33" s="98" t="s">
        <v>403</v>
      </c>
      <c r="W33" s="98" t="s">
        <v>404</v>
      </c>
      <c r="X33" s="98" t="s">
        <v>379</v>
      </c>
      <c r="Y33" s="98" t="s">
        <v>370</v>
      </c>
      <c r="Z33" s="308" t="s">
        <v>364</v>
      </c>
      <c r="AA33" s="411">
        <v>1</v>
      </c>
      <c r="AB33" s="103"/>
      <c r="AC33" s="98"/>
      <c r="AD33" s="98"/>
      <c r="AE33" s="98"/>
      <c r="AF33" s="98"/>
      <c r="AG33" s="98"/>
      <c r="AH33" s="98"/>
      <c r="AI33" s="98"/>
      <c r="AJ33" s="98"/>
      <c r="AK33" s="98"/>
      <c r="AL33" s="411">
        <v>1</v>
      </c>
      <c r="AM33" s="6"/>
      <c r="AN33" s="6"/>
      <c r="AO33" s="6"/>
      <c r="AP33" s="6"/>
      <c r="AQ33" s="6"/>
      <c r="AR33" s="6"/>
      <c r="AS33" s="6"/>
      <c r="AT33" s="6">
        <f t="shared" si="0"/>
        <v>0</v>
      </c>
      <c r="AU33" s="6"/>
      <c r="AV33" s="6"/>
      <c r="AW33" s="6"/>
      <c r="AX33" s="6"/>
      <c r="AY33" s="6"/>
      <c r="AZ33" s="6"/>
    </row>
    <row r="34" spans="1:52" ht="12.75" customHeight="1">
      <c r="A34" s="12">
        <f>IF('СПИСОК КЛАССА'!J34&gt;0,1,0)</f>
        <v>1</v>
      </c>
      <c r="B34" s="206">
        <v>15</v>
      </c>
      <c r="C34" s="209">
        <f>IF(NOT(ISBLANK('СПИСОК КЛАССА'!C34)),'СПИСОК КЛАССА'!C34,"")</f>
        <v>15</v>
      </c>
      <c r="D34" s="280" t="str">
        <f>IF(NOT(ISBLANK('СПИСОК КЛАССА'!D34)),IF($A34=1,'СПИСОК КЛАССА'!D34, "УЧЕНИК НЕ ВЫПОЛНЯЛ РАБОТУ"),"")</f>
        <v>КИРЕЕВА КРИСТИНА</v>
      </c>
      <c r="E34" s="411">
        <v>3</v>
      </c>
      <c r="F34" s="411">
        <v>3</v>
      </c>
      <c r="G34" s="304" t="s">
        <v>371</v>
      </c>
      <c r="H34" s="98" t="s">
        <v>363</v>
      </c>
      <c r="I34" s="98" t="s">
        <v>372</v>
      </c>
      <c r="J34" s="98" t="s">
        <v>364</v>
      </c>
      <c r="K34" s="98" t="s">
        <v>339</v>
      </c>
      <c r="L34" s="98" t="s">
        <v>365</v>
      </c>
      <c r="M34" s="98" t="s">
        <v>375</v>
      </c>
      <c r="N34" s="98" t="s">
        <v>374</v>
      </c>
      <c r="O34" s="98" t="s">
        <v>376</v>
      </c>
      <c r="P34" s="98" t="s">
        <v>373</v>
      </c>
      <c r="Q34" s="98" t="s">
        <v>366</v>
      </c>
      <c r="R34" s="98" t="s">
        <v>343</v>
      </c>
      <c r="S34" s="98" t="s">
        <v>345</v>
      </c>
      <c r="T34" s="98" t="s">
        <v>377</v>
      </c>
      <c r="U34" s="98" t="s">
        <v>378</v>
      </c>
      <c r="V34" s="98" t="s">
        <v>344</v>
      </c>
      <c r="W34" s="98" t="s">
        <v>391</v>
      </c>
      <c r="X34" s="98" t="s">
        <v>379</v>
      </c>
      <c r="Y34" s="98" t="s">
        <v>370</v>
      </c>
      <c r="Z34" s="308" t="s">
        <v>380</v>
      </c>
      <c r="AA34" s="411">
        <v>2</v>
      </c>
      <c r="AB34" s="103"/>
      <c r="AC34" s="98"/>
      <c r="AD34" s="98"/>
      <c r="AE34" s="98"/>
      <c r="AF34" s="98"/>
      <c r="AG34" s="98"/>
      <c r="AH34" s="98"/>
      <c r="AI34" s="98"/>
      <c r="AJ34" s="98"/>
      <c r="AK34" s="98"/>
      <c r="AL34" s="411">
        <v>1</v>
      </c>
      <c r="AM34" s="6"/>
      <c r="AN34" s="6"/>
      <c r="AO34" s="6"/>
      <c r="AP34" s="6"/>
      <c r="AQ34" s="6"/>
      <c r="AR34" s="6"/>
      <c r="AS34" s="6"/>
      <c r="AT34" s="6">
        <f t="shared" si="0"/>
        <v>0</v>
      </c>
      <c r="AU34" s="6"/>
      <c r="AV34" s="6"/>
      <c r="AW34" s="6"/>
      <c r="AX34" s="6"/>
      <c r="AY34" s="6"/>
      <c r="AZ34" s="6"/>
    </row>
    <row r="35" spans="1:52" ht="12.75" customHeight="1">
      <c r="A35" s="12">
        <f>IF('СПИСОК КЛАССА'!J35&gt;0,1,0)</f>
        <v>1</v>
      </c>
      <c r="B35" s="206">
        <v>16</v>
      </c>
      <c r="C35" s="209">
        <f>IF(NOT(ISBLANK('СПИСОК КЛАССА'!C35)),'СПИСОК КЛАССА'!C35,"")</f>
        <v>16</v>
      </c>
      <c r="D35" s="280" t="str">
        <f>IF(NOT(ISBLANK('СПИСОК КЛАССА'!D35)),IF($A35=1,'СПИСОК КЛАССА'!D35, "УЧЕНИК НЕ ВЫПОЛНЯЛ РАБОТУ"),"")</f>
        <v>КОРЯКИН СЕМЕН</v>
      </c>
      <c r="E35" s="411">
        <v>3</v>
      </c>
      <c r="F35" s="411">
        <v>3</v>
      </c>
      <c r="G35" s="304" t="s">
        <v>363</v>
      </c>
      <c r="H35" s="98" t="s">
        <v>363</v>
      </c>
      <c r="I35" s="98" t="s">
        <v>363</v>
      </c>
      <c r="J35" s="98" t="s">
        <v>364</v>
      </c>
      <c r="K35" s="98" t="s">
        <v>339</v>
      </c>
      <c r="L35" s="98" t="s">
        <v>375</v>
      </c>
      <c r="M35" s="98" t="s">
        <v>365</v>
      </c>
      <c r="N35" s="98" t="s">
        <v>376</v>
      </c>
      <c r="O35" s="98" t="s">
        <v>374</v>
      </c>
      <c r="P35" s="98" t="s">
        <v>373</v>
      </c>
      <c r="Q35" s="98" t="s">
        <v>343</v>
      </c>
      <c r="R35" s="98" t="s">
        <v>367</v>
      </c>
      <c r="S35" s="98" t="s">
        <v>433</v>
      </c>
      <c r="T35" s="98" t="s">
        <v>368</v>
      </c>
      <c r="U35" s="98" t="s">
        <v>405</v>
      </c>
      <c r="V35" s="98" t="s">
        <v>406</v>
      </c>
      <c r="W35" s="98" t="s">
        <v>407</v>
      </c>
      <c r="X35" s="98" t="s">
        <v>379</v>
      </c>
      <c r="Y35" s="98" t="s">
        <v>370</v>
      </c>
      <c r="Z35" s="308" t="s">
        <v>408</v>
      </c>
      <c r="AA35" s="411">
        <v>0</v>
      </c>
      <c r="AB35" s="103"/>
      <c r="AC35" s="98"/>
      <c r="AD35" s="98"/>
      <c r="AE35" s="98"/>
      <c r="AF35" s="98"/>
      <c r="AG35" s="98"/>
      <c r="AH35" s="98"/>
      <c r="AI35" s="98"/>
      <c r="AJ35" s="98"/>
      <c r="AK35" s="98"/>
      <c r="AL35" s="411">
        <v>0</v>
      </c>
      <c r="AM35" s="6"/>
      <c r="AN35" s="6"/>
      <c r="AO35" s="6"/>
      <c r="AP35" s="6"/>
      <c r="AQ35" s="6"/>
      <c r="AR35" s="6"/>
      <c r="AS35" s="6"/>
      <c r="AT35" s="6">
        <f t="shared" si="0"/>
        <v>0</v>
      </c>
      <c r="AU35" s="6"/>
      <c r="AV35" s="6"/>
      <c r="AW35" s="6"/>
      <c r="AX35" s="6"/>
      <c r="AY35" s="6"/>
      <c r="AZ35" s="6"/>
    </row>
    <row r="36" spans="1:52" ht="12.75" customHeight="1">
      <c r="A36" s="12">
        <f>IF('СПИСОК КЛАССА'!J36&gt;0,1,0)</f>
        <v>1</v>
      </c>
      <c r="B36" s="206">
        <v>17</v>
      </c>
      <c r="C36" s="209">
        <f>IF(NOT(ISBLANK('СПИСОК КЛАССА'!C36)),'СПИСОК КЛАССА'!C36,"")</f>
        <v>17</v>
      </c>
      <c r="D36" s="280" t="str">
        <f>IF(NOT(ISBLANK('СПИСОК КЛАССА'!D36)),IF($A36=1,'СПИСОК КЛАССА'!D36, "УЧЕНИК НЕ ВЫПОЛНЯЛ РАБОТУ"),"")</f>
        <v>КУПРИЯНОВА ПОЛИНА</v>
      </c>
      <c r="E36" s="411">
        <v>1</v>
      </c>
      <c r="F36" s="411">
        <v>2</v>
      </c>
      <c r="G36" s="304" t="s">
        <v>335</v>
      </c>
      <c r="H36" s="98" t="s">
        <v>346</v>
      </c>
      <c r="I36" s="98" t="s">
        <v>340</v>
      </c>
      <c r="J36" s="98" t="s">
        <v>336</v>
      </c>
      <c r="K36" s="98" t="s">
        <v>336</v>
      </c>
      <c r="L36" s="98" t="s">
        <v>338</v>
      </c>
      <c r="M36" s="98" t="s">
        <v>339</v>
      </c>
      <c r="N36" s="98" t="s">
        <v>346</v>
      </c>
      <c r="O36" s="98" t="s">
        <v>347</v>
      </c>
      <c r="P36" s="98" t="s">
        <v>348</v>
      </c>
      <c r="Q36" s="98" t="s">
        <v>342</v>
      </c>
      <c r="R36" s="98" t="s">
        <v>349</v>
      </c>
      <c r="S36" s="98" t="s">
        <v>343</v>
      </c>
      <c r="T36" s="98" t="s">
        <v>344</v>
      </c>
      <c r="U36" s="98" t="s">
        <v>350</v>
      </c>
      <c r="V36" s="98" t="s">
        <v>351</v>
      </c>
      <c r="W36" s="98" t="s">
        <v>352</v>
      </c>
      <c r="X36" s="98" t="s">
        <v>345</v>
      </c>
      <c r="Y36" s="98" t="s">
        <v>353</v>
      </c>
      <c r="Z36" s="308" t="s">
        <v>354</v>
      </c>
      <c r="AA36" s="411">
        <v>1</v>
      </c>
      <c r="AB36" s="103"/>
      <c r="AC36" s="98"/>
      <c r="AD36" s="98"/>
      <c r="AE36" s="98"/>
      <c r="AF36" s="98"/>
      <c r="AG36" s="98"/>
      <c r="AH36" s="98"/>
      <c r="AI36" s="98"/>
      <c r="AJ36" s="98"/>
      <c r="AK36" s="98"/>
      <c r="AL36" s="411">
        <v>1</v>
      </c>
      <c r="AM36" s="6"/>
      <c r="AN36" s="6"/>
      <c r="AO36" s="6"/>
      <c r="AP36" s="6"/>
      <c r="AQ36" s="6"/>
      <c r="AR36" s="6"/>
      <c r="AS36" s="6"/>
      <c r="AT36" s="6">
        <f t="shared" si="0"/>
        <v>0</v>
      </c>
      <c r="AU36" s="6"/>
      <c r="AV36" s="6"/>
      <c r="AW36" s="6"/>
      <c r="AX36" s="6"/>
      <c r="AY36" s="6"/>
      <c r="AZ36" s="6"/>
    </row>
    <row r="37" spans="1:52" ht="12.75" customHeight="1">
      <c r="A37" s="12">
        <f>IF('СПИСОК КЛАССА'!J37&gt;0,1,0)</f>
        <v>1</v>
      </c>
      <c r="B37" s="206">
        <v>18</v>
      </c>
      <c r="C37" s="209">
        <f>IF(NOT(ISBLANK('СПИСОК КЛАССА'!C37)),'СПИСОК КЛАССА'!C37,"")</f>
        <v>18</v>
      </c>
      <c r="D37" s="280" t="str">
        <f>IF(NOT(ISBLANK('СПИСОК КЛАССА'!D37)),IF($A37=1,'СПИСОК КЛАССА'!D37, "УЧЕНИК НЕ ВЫПОЛНЯЛ РАБОТУ"),"")</f>
        <v>ЛЕДЕНЕВА ВАЛЕРИЯ</v>
      </c>
      <c r="E37" s="411">
        <v>1</v>
      </c>
      <c r="F37" s="411">
        <v>2</v>
      </c>
      <c r="G37" s="304" t="s">
        <v>335</v>
      </c>
      <c r="H37" s="98" t="s">
        <v>340</v>
      </c>
      <c r="I37" s="98" t="s">
        <v>346</v>
      </c>
      <c r="J37" s="98" t="s">
        <v>336</v>
      </c>
      <c r="K37" s="98" t="s">
        <v>337</v>
      </c>
      <c r="L37" s="98" t="s">
        <v>336</v>
      </c>
      <c r="M37" s="98" t="s">
        <v>339</v>
      </c>
      <c r="N37" s="98" t="s">
        <v>341</v>
      </c>
      <c r="O37" s="98" t="s">
        <v>347</v>
      </c>
      <c r="P37" s="98" t="s">
        <v>348</v>
      </c>
      <c r="Q37" s="98" t="s">
        <v>342</v>
      </c>
      <c r="R37" s="98" t="s">
        <v>409</v>
      </c>
      <c r="S37" s="98" t="s">
        <v>343</v>
      </c>
      <c r="T37" s="98" t="s">
        <v>344</v>
      </c>
      <c r="U37" s="98" t="s">
        <v>410</v>
      </c>
      <c r="V37" s="98" t="s">
        <v>360</v>
      </c>
      <c r="W37" s="98" t="s">
        <v>361</v>
      </c>
      <c r="X37" s="98" t="s">
        <v>384</v>
      </c>
      <c r="Y37" s="98" t="s">
        <v>357</v>
      </c>
      <c r="Z37" s="308" t="s">
        <v>354</v>
      </c>
      <c r="AA37" s="411">
        <v>1</v>
      </c>
      <c r="AB37" s="103"/>
      <c r="AC37" s="98"/>
      <c r="AD37" s="98"/>
      <c r="AE37" s="98"/>
      <c r="AF37" s="98"/>
      <c r="AG37" s="98"/>
      <c r="AH37" s="98"/>
      <c r="AI37" s="98"/>
      <c r="AJ37" s="98"/>
      <c r="AK37" s="98"/>
      <c r="AL37" s="411">
        <v>0</v>
      </c>
      <c r="AM37" s="6"/>
      <c r="AN37" s="6"/>
      <c r="AO37" s="6"/>
      <c r="AP37" s="6"/>
      <c r="AQ37" s="6"/>
      <c r="AR37" s="6"/>
      <c r="AS37" s="6"/>
      <c r="AT37" s="6">
        <f t="shared" si="0"/>
        <v>0</v>
      </c>
      <c r="AU37" s="6"/>
      <c r="AV37" s="6"/>
      <c r="AW37" s="6"/>
      <c r="AX37" s="6"/>
      <c r="AY37" s="6"/>
      <c r="AZ37" s="6"/>
    </row>
    <row r="38" spans="1:52" ht="12.75" customHeight="1">
      <c r="A38" s="12">
        <f>IF('СПИСОК КЛАССА'!J38&gt;0,1,0)</f>
        <v>1</v>
      </c>
      <c r="B38" s="206">
        <v>19</v>
      </c>
      <c r="C38" s="209">
        <f>IF(NOT(ISBLANK('СПИСОК КЛАССА'!C38)),'СПИСОК КЛАССА'!C38,"")</f>
        <v>19</v>
      </c>
      <c r="D38" s="280" t="str">
        <f>IF(NOT(ISBLANK('СПИСОК КЛАССА'!D38)),IF($A38=1,'СПИСОК КЛАССА'!D38, "УЧЕНИК НЕ ВЫПОЛНЯЛ РАБОТУ"),"")</f>
        <v>МАКАЙДА АЛЛА</v>
      </c>
      <c r="E38" s="411">
        <v>1</v>
      </c>
      <c r="F38" s="411">
        <v>2</v>
      </c>
      <c r="G38" s="304" t="s">
        <v>335</v>
      </c>
      <c r="H38" s="98" t="s">
        <v>346</v>
      </c>
      <c r="I38" s="98" t="s">
        <v>347</v>
      </c>
      <c r="J38" s="98" t="s">
        <v>337</v>
      </c>
      <c r="K38" s="98" t="s">
        <v>338</v>
      </c>
      <c r="L38" s="98" t="s">
        <v>340</v>
      </c>
      <c r="M38" s="98" t="s">
        <v>339</v>
      </c>
      <c r="N38" s="98" t="s">
        <v>341</v>
      </c>
      <c r="O38" s="98" t="s">
        <v>336</v>
      </c>
      <c r="P38" s="98" t="s">
        <v>348</v>
      </c>
      <c r="Q38" s="98" t="s">
        <v>342</v>
      </c>
      <c r="R38" s="98" t="s">
        <v>349</v>
      </c>
      <c r="S38" s="98" t="s">
        <v>343</v>
      </c>
      <c r="T38" s="98" t="s">
        <v>344</v>
      </c>
      <c r="U38" s="98" t="s">
        <v>350</v>
      </c>
      <c r="V38" s="98" t="s">
        <v>351</v>
      </c>
      <c r="W38" s="98" t="s">
        <v>411</v>
      </c>
      <c r="X38" s="98" t="s">
        <v>345</v>
      </c>
      <c r="Y38" s="98" t="s">
        <v>353</v>
      </c>
      <c r="Z38" s="308" t="s">
        <v>354</v>
      </c>
      <c r="AA38" s="411">
        <v>2</v>
      </c>
      <c r="AB38" s="103"/>
      <c r="AC38" s="98"/>
      <c r="AD38" s="98"/>
      <c r="AE38" s="98"/>
      <c r="AF38" s="98"/>
      <c r="AG38" s="98"/>
      <c r="AH38" s="98"/>
      <c r="AI38" s="98"/>
      <c r="AJ38" s="98"/>
      <c r="AK38" s="98"/>
      <c r="AL38" s="411">
        <v>1</v>
      </c>
      <c r="AM38" s="6"/>
      <c r="AN38" s="6"/>
      <c r="AO38" s="6"/>
      <c r="AP38" s="6"/>
      <c r="AQ38" s="6"/>
      <c r="AR38" s="6"/>
      <c r="AS38" s="6"/>
      <c r="AT38" s="6">
        <f t="shared" si="0"/>
        <v>0</v>
      </c>
      <c r="AU38" s="6"/>
      <c r="AV38" s="6"/>
      <c r="AW38" s="6"/>
      <c r="AX38" s="6"/>
      <c r="AY38" s="6"/>
      <c r="AZ38" s="6"/>
    </row>
    <row r="39" spans="1:52" ht="12.75" customHeight="1">
      <c r="A39" s="12">
        <f>IF('СПИСОК КЛАССА'!J39&gt;0,1,0)</f>
        <v>1</v>
      </c>
      <c r="B39" s="206">
        <v>20</v>
      </c>
      <c r="C39" s="209">
        <f>IF(NOT(ISBLANK('СПИСОК КЛАССА'!C39)),'СПИСОК КЛАССА'!C39,"")</f>
        <v>20</v>
      </c>
      <c r="D39" s="280" t="str">
        <f>IF(NOT(ISBLANK('СПИСОК КЛАССА'!D39)),IF($A39=1,'СПИСОК КЛАССА'!D39, "УЧЕНИК НЕ ВЫПОЛНЯЛ РАБОТУ"),"")</f>
        <v>МЕДВЕДЕВ СЕРГЕЙ</v>
      </c>
      <c r="E39" s="411">
        <v>3</v>
      </c>
      <c r="F39" s="411">
        <v>1</v>
      </c>
      <c r="G39" s="304" t="s">
        <v>371</v>
      </c>
      <c r="H39" s="98" t="s">
        <v>363</v>
      </c>
      <c r="I39" s="98" t="s">
        <v>372</v>
      </c>
      <c r="J39" s="98" t="s">
        <v>339</v>
      </c>
      <c r="K39" s="98" t="s">
        <v>364</v>
      </c>
      <c r="L39" s="98" t="s">
        <v>374</v>
      </c>
      <c r="M39" s="98" t="s">
        <v>373</v>
      </c>
      <c r="N39" s="98" t="s">
        <v>374</v>
      </c>
      <c r="O39" s="98" t="s">
        <v>376</v>
      </c>
      <c r="P39" s="98" t="s">
        <v>375</v>
      </c>
      <c r="Q39" s="98" t="s">
        <v>366</v>
      </c>
      <c r="R39" s="98" t="s">
        <v>343</v>
      </c>
      <c r="S39" s="98" t="s">
        <v>413</v>
      </c>
      <c r="T39" s="98" t="s">
        <v>368</v>
      </c>
      <c r="U39" s="98" t="s">
        <v>414</v>
      </c>
      <c r="V39" s="98" t="s">
        <v>415</v>
      </c>
      <c r="W39" s="98" t="s">
        <v>416</v>
      </c>
      <c r="X39" s="98" t="s">
        <v>417</v>
      </c>
      <c r="Y39" s="98" t="s">
        <v>370</v>
      </c>
      <c r="Z39" s="308" t="s">
        <v>389</v>
      </c>
      <c r="AA39" s="411">
        <v>1</v>
      </c>
      <c r="AB39" s="103"/>
      <c r="AC39" s="98"/>
      <c r="AD39" s="98"/>
      <c r="AE39" s="98"/>
      <c r="AF39" s="98"/>
      <c r="AG39" s="98"/>
      <c r="AH39" s="98"/>
      <c r="AI39" s="98"/>
      <c r="AJ39" s="98"/>
      <c r="AK39" s="98"/>
      <c r="AL39" s="411">
        <v>0</v>
      </c>
      <c r="AM39" s="6"/>
      <c r="AN39" s="6"/>
      <c r="AO39" s="6"/>
      <c r="AP39" s="6"/>
      <c r="AQ39" s="6"/>
      <c r="AR39" s="6"/>
      <c r="AS39" s="6"/>
      <c r="AT39" s="6">
        <f t="shared" si="0"/>
        <v>0</v>
      </c>
      <c r="AU39" s="6"/>
      <c r="AV39" s="6"/>
      <c r="AW39" s="6"/>
      <c r="AX39" s="6"/>
      <c r="AY39" s="6"/>
      <c r="AZ39" s="6"/>
    </row>
    <row r="40" spans="1:52" ht="12.75" customHeight="1">
      <c r="A40" s="12">
        <f>IF('СПИСОК КЛАССА'!J40&gt;0,1,0)</f>
        <v>1</v>
      </c>
      <c r="B40" s="206">
        <v>21</v>
      </c>
      <c r="C40" s="209">
        <f>IF(NOT(ISBLANK('СПИСОК КЛАССА'!C40)),'СПИСОК КЛАССА'!C40,"")</f>
        <v>21</v>
      </c>
      <c r="D40" s="280" t="str">
        <f>IF(NOT(ISBLANK('СПИСОК КЛАССА'!D40)),IF($A40=1,'СПИСОК КЛАССА'!D40, "УЧЕНИК НЕ ВЫПОЛНЯЛ РАБОТУ"),"")</f>
        <v>ПИМЕНОВ АРТЕМ</v>
      </c>
      <c r="E40" s="411">
        <v>3</v>
      </c>
      <c r="F40" s="411">
        <v>3</v>
      </c>
      <c r="G40" s="304" t="s">
        <v>371</v>
      </c>
      <c r="H40" s="98" t="s">
        <v>363</v>
      </c>
      <c r="I40" s="98" t="s">
        <v>372</v>
      </c>
      <c r="J40" s="98" t="s">
        <v>364</v>
      </c>
      <c r="K40" s="98" t="s">
        <v>339</v>
      </c>
      <c r="L40" s="98" t="s">
        <v>374</v>
      </c>
      <c r="M40" s="98" t="s">
        <v>375</v>
      </c>
      <c r="N40" s="98" t="s">
        <v>373</v>
      </c>
      <c r="O40" s="98" t="s">
        <v>376</v>
      </c>
      <c r="P40" s="98" t="s">
        <v>365</v>
      </c>
      <c r="Q40" s="98" t="s">
        <v>366</v>
      </c>
      <c r="R40" s="98" t="s">
        <v>418</v>
      </c>
      <c r="S40" s="98" t="s">
        <v>345</v>
      </c>
      <c r="T40" s="98" t="s">
        <v>377</v>
      </c>
      <c r="U40" s="98" t="s">
        <v>378</v>
      </c>
      <c r="V40" s="98" t="s">
        <v>344</v>
      </c>
      <c r="W40" s="98" t="s">
        <v>391</v>
      </c>
      <c r="X40" s="98" t="s">
        <v>419</v>
      </c>
      <c r="Y40" s="98" t="s">
        <v>370</v>
      </c>
      <c r="Z40" s="308" t="s">
        <v>420</v>
      </c>
      <c r="AA40" s="411">
        <v>2</v>
      </c>
      <c r="AB40" s="103"/>
      <c r="AC40" s="98"/>
      <c r="AD40" s="98"/>
      <c r="AE40" s="98"/>
      <c r="AF40" s="98"/>
      <c r="AG40" s="98"/>
      <c r="AH40" s="98"/>
      <c r="AI40" s="98"/>
      <c r="AJ40" s="98"/>
      <c r="AK40" s="98"/>
      <c r="AL40" s="411">
        <v>1</v>
      </c>
      <c r="AM40" s="6"/>
      <c r="AN40" s="6"/>
      <c r="AO40" s="6"/>
      <c r="AP40" s="6"/>
      <c r="AQ40" s="6"/>
      <c r="AR40" s="6"/>
      <c r="AS40" s="6"/>
      <c r="AT40" s="6">
        <f t="shared" si="0"/>
        <v>0</v>
      </c>
      <c r="AU40" s="6"/>
      <c r="AV40" s="6"/>
      <c r="AW40" s="6"/>
      <c r="AX40" s="6"/>
      <c r="AY40" s="6"/>
      <c r="AZ40" s="6"/>
    </row>
    <row r="41" spans="1:52" ht="12.75" customHeight="1">
      <c r="A41" s="12">
        <f>IF('СПИСОК КЛАССА'!J41&gt;0,1,0)</f>
        <v>1</v>
      </c>
      <c r="B41" s="206">
        <v>22</v>
      </c>
      <c r="C41" s="209">
        <f>IF(NOT(ISBLANK('СПИСОК КЛАССА'!C41)),'СПИСОК КЛАССА'!C41,"")</f>
        <v>22</v>
      </c>
      <c r="D41" s="280" t="str">
        <f>IF(NOT(ISBLANK('СПИСОК КЛАССА'!D41)),IF($A41=1,'СПИСОК КЛАССА'!D41, "УЧЕНИК НЕ ВЫПОЛНЯЛ РАБОТУ"),"")</f>
        <v>ПОДЛЕДНЕВ АЛЕКСАНДР</v>
      </c>
      <c r="E41" s="411">
        <v>1</v>
      </c>
      <c r="F41" s="411">
        <v>2</v>
      </c>
      <c r="G41" s="304" t="s">
        <v>335</v>
      </c>
      <c r="H41" s="98" t="s">
        <v>346</v>
      </c>
      <c r="I41" s="98" t="s">
        <v>340</v>
      </c>
      <c r="J41" s="98" t="s">
        <v>337</v>
      </c>
      <c r="K41" s="98" t="s">
        <v>336</v>
      </c>
      <c r="L41" s="98" t="s">
        <v>338</v>
      </c>
      <c r="M41" s="98" t="s">
        <v>412</v>
      </c>
      <c r="N41" s="98" t="s">
        <v>341</v>
      </c>
      <c r="O41" s="98" t="s">
        <v>347</v>
      </c>
      <c r="P41" s="98" t="s">
        <v>348</v>
      </c>
      <c r="Q41" s="98" t="s">
        <v>342</v>
      </c>
      <c r="R41" s="98" t="s">
        <v>349</v>
      </c>
      <c r="S41" s="98" t="s">
        <v>343</v>
      </c>
      <c r="T41" s="98" t="s">
        <v>344</v>
      </c>
      <c r="U41" s="98" t="s">
        <v>350</v>
      </c>
      <c r="V41" s="98" t="s">
        <v>351</v>
      </c>
      <c r="W41" s="98" t="s">
        <v>352</v>
      </c>
      <c r="X41" s="98" t="s">
        <v>345</v>
      </c>
      <c r="Y41" s="98" t="s">
        <v>353</v>
      </c>
      <c r="Z41" s="308" t="s">
        <v>354</v>
      </c>
      <c r="AA41" s="411">
        <v>2</v>
      </c>
      <c r="AB41" s="103"/>
      <c r="AC41" s="98"/>
      <c r="AD41" s="98"/>
      <c r="AE41" s="98"/>
      <c r="AF41" s="98"/>
      <c r="AG41" s="98"/>
      <c r="AH41" s="98"/>
      <c r="AI41" s="98"/>
      <c r="AJ41" s="98"/>
      <c r="AK41" s="98"/>
      <c r="AL41" s="411">
        <v>1</v>
      </c>
      <c r="AM41" s="6"/>
      <c r="AN41" s="6"/>
      <c r="AO41" s="6"/>
      <c r="AP41" s="6"/>
      <c r="AQ41" s="6"/>
      <c r="AR41" s="6"/>
      <c r="AS41" s="6"/>
      <c r="AT41" s="6">
        <f t="shared" si="0"/>
        <v>0</v>
      </c>
      <c r="AU41" s="6"/>
      <c r="AV41" s="6"/>
      <c r="AW41" s="6"/>
      <c r="AX41" s="6"/>
      <c r="AY41" s="6"/>
      <c r="AZ41" s="6"/>
    </row>
    <row r="42" spans="1:52" ht="12.75" customHeight="1">
      <c r="A42" s="12">
        <f>IF('СПИСОК КЛАССА'!J42&gt;0,1,0)</f>
        <v>1</v>
      </c>
      <c r="B42" s="206">
        <v>23</v>
      </c>
      <c r="C42" s="209">
        <f>IF(NOT(ISBLANK('СПИСОК КЛАССА'!C42)),'СПИСОК КЛАССА'!C42,"")</f>
        <v>23</v>
      </c>
      <c r="D42" s="280" t="str">
        <f>IF(NOT(ISBLANK('СПИСОК КЛАССА'!D42)),IF($A42=1,'СПИСОК КЛАССА'!D42, "УЧЕНИК НЕ ВЫПОЛНЯЛ РАБОТУ"),"")</f>
        <v>ПУЧКИНА ДАРЬЯ</v>
      </c>
      <c r="E42" s="411">
        <v>1</v>
      </c>
      <c r="F42" s="411">
        <v>2</v>
      </c>
      <c r="G42" s="304" t="s">
        <v>335</v>
      </c>
      <c r="H42" s="98" t="s">
        <v>340</v>
      </c>
      <c r="I42" s="98" t="s">
        <v>346</v>
      </c>
      <c r="J42" s="98" t="s">
        <v>337</v>
      </c>
      <c r="K42" s="98" t="s">
        <v>336</v>
      </c>
      <c r="L42" s="98" t="s">
        <v>338</v>
      </c>
      <c r="M42" s="98" t="s">
        <v>339</v>
      </c>
      <c r="N42" s="98" t="s">
        <v>348</v>
      </c>
      <c r="O42" s="98" t="s">
        <v>336</v>
      </c>
      <c r="P42" s="98" t="s">
        <v>347</v>
      </c>
      <c r="Q42" s="98" t="s">
        <v>421</v>
      </c>
      <c r="R42" s="98" t="s">
        <v>131</v>
      </c>
      <c r="S42" s="98" t="s">
        <v>343</v>
      </c>
      <c r="T42" s="98" t="s">
        <v>344</v>
      </c>
      <c r="U42" s="98" t="s">
        <v>369</v>
      </c>
      <c r="V42" s="98" t="s">
        <v>351</v>
      </c>
      <c r="W42" s="98" t="s">
        <v>352</v>
      </c>
      <c r="X42" s="98" t="s">
        <v>345</v>
      </c>
      <c r="Y42" s="98" t="s">
        <v>422</v>
      </c>
      <c r="Z42" s="308" t="s">
        <v>423</v>
      </c>
      <c r="AA42" s="411">
        <v>1</v>
      </c>
      <c r="AB42" s="103"/>
      <c r="AC42" s="98"/>
      <c r="AD42" s="98"/>
      <c r="AE42" s="98"/>
      <c r="AF42" s="98"/>
      <c r="AG42" s="98"/>
      <c r="AH42" s="98"/>
      <c r="AI42" s="98"/>
      <c r="AJ42" s="98"/>
      <c r="AK42" s="98"/>
      <c r="AL42" s="411">
        <v>1</v>
      </c>
      <c r="AM42" s="6"/>
      <c r="AN42" s="6"/>
      <c r="AO42" s="6"/>
      <c r="AP42" s="6"/>
      <c r="AQ42" s="6"/>
      <c r="AR42" s="6"/>
      <c r="AS42" s="6"/>
      <c r="AT42" s="6">
        <f t="shared" si="0"/>
        <v>0</v>
      </c>
      <c r="AU42" s="6"/>
      <c r="AV42" s="6"/>
      <c r="AW42" s="6"/>
      <c r="AX42" s="6"/>
      <c r="AY42" s="6"/>
      <c r="AZ42" s="6"/>
    </row>
    <row r="43" spans="1:52" ht="12.75" customHeight="1">
      <c r="A43" s="12">
        <f>IF('СПИСОК КЛАССА'!J43&gt;0,1,0)</f>
        <v>1</v>
      </c>
      <c r="B43" s="206">
        <v>24</v>
      </c>
      <c r="C43" s="209">
        <f>IF(NOT(ISBLANK('СПИСОК КЛАССА'!C43)),'СПИСОК КЛАССА'!C43,"")</f>
        <v>24</v>
      </c>
      <c r="D43" s="280" t="str">
        <f>IF(NOT(ISBLANK('СПИСОК КЛАССА'!D43)),IF($A43=1,'СПИСОК КЛАССА'!D43, "УЧЕНИК НЕ ВЫПОЛНЯЛ РАБОТУ"),"")</f>
        <v>ПЫТЧЕНКО АЛЕКСАНДР</v>
      </c>
      <c r="E43" s="411">
        <v>1</v>
      </c>
      <c r="F43" s="411">
        <v>2</v>
      </c>
      <c r="G43" s="304" t="s">
        <v>335</v>
      </c>
      <c r="H43" s="98" t="s">
        <v>346</v>
      </c>
      <c r="I43" s="98" t="s">
        <v>340</v>
      </c>
      <c r="J43" s="98" t="s">
        <v>337</v>
      </c>
      <c r="K43" s="98" t="s">
        <v>336</v>
      </c>
      <c r="L43" s="98" t="s">
        <v>338</v>
      </c>
      <c r="M43" s="98" t="s">
        <v>348</v>
      </c>
      <c r="N43" s="98" t="s">
        <v>346</v>
      </c>
      <c r="O43" s="98" t="s">
        <v>347</v>
      </c>
      <c r="P43" s="98" t="s">
        <v>348</v>
      </c>
      <c r="Q43" s="98" t="s">
        <v>342</v>
      </c>
      <c r="R43" s="98" t="s">
        <v>349</v>
      </c>
      <c r="S43" s="98" t="s">
        <v>343</v>
      </c>
      <c r="T43" s="98" t="s">
        <v>344</v>
      </c>
      <c r="U43" s="98" t="s">
        <v>350</v>
      </c>
      <c r="V43" s="98" t="s">
        <v>351</v>
      </c>
      <c r="W43" s="98" t="s">
        <v>131</v>
      </c>
      <c r="X43" s="98" t="s">
        <v>345</v>
      </c>
      <c r="Y43" s="98" t="s">
        <v>422</v>
      </c>
      <c r="Z43" s="308" t="s">
        <v>354</v>
      </c>
      <c r="AA43" s="411">
        <v>1</v>
      </c>
      <c r="AB43" s="103"/>
      <c r="AC43" s="98"/>
      <c r="AD43" s="98"/>
      <c r="AE43" s="98"/>
      <c r="AF43" s="98"/>
      <c r="AG43" s="98"/>
      <c r="AH43" s="98"/>
      <c r="AI43" s="98"/>
      <c r="AJ43" s="98"/>
      <c r="AK43" s="98"/>
      <c r="AL43" s="411">
        <v>1</v>
      </c>
      <c r="AM43" s="6"/>
      <c r="AN43" s="6"/>
      <c r="AO43" s="6"/>
      <c r="AP43" s="6"/>
      <c r="AQ43" s="6"/>
      <c r="AR43" s="6"/>
      <c r="AS43" s="6"/>
      <c r="AT43" s="6">
        <f t="shared" si="0"/>
        <v>0</v>
      </c>
      <c r="AU43" s="6"/>
      <c r="AV43" s="6"/>
      <c r="AW43" s="6"/>
      <c r="AX43" s="6"/>
      <c r="AY43" s="6"/>
      <c r="AZ43" s="6"/>
    </row>
    <row r="44" spans="1:52" ht="12.75" customHeight="1">
      <c r="A44" s="12">
        <f>IF('СПИСОК КЛАССА'!J44&gt;0,1,0)</f>
        <v>1</v>
      </c>
      <c r="B44" s="206">
        <v>25</v>
      </c>
      <c r="C44" s="209">
        <f>IF(NOT(ISBLANK('СПИСОК КЛАССА'!C44)),'СПИСОК КЛАССА'!C44,"")</f>
        <v>25</v>
      </c>
      <c r="D44" s="280" t="str">
        <f>IF(NOT(ISBLANK('СПИСОК КЛАССА'!D44)),IF($A44=1,'СПИСОК КЛАССА'!D44, "УЧЕНИК НЕ ВЫПОЛНЯЛ РАБОТУ"),"")</f>
        <v>РЕПП ВЛАДИСЛАВ</v>
      </c>
      <c r="E44" s="411">
        <v>1</v>
      </c>
      <c r="F44" s="411">
        <v>2</v>
      </c>
      <c r="G44" s="304" t="s">
        <v>335</v>
      </c>
      <c r="H44" s="98" t="s">
        <v>346</v>
      </c>
      <c r="I44" s="98" t="s">
        <v>340</v>
      </c>
      <c r="J44" s="98" t="s">
        <v>337</v>
      </c>
      <c r="K44" s="98" t="s">
        <v>336</v>
      </c>
      <c r="L44" s="98" t="s">
        <v>339</v>
      </c>
      <c r="M44" s="98" t="s">
        <v>338</v>
      </c>
      <c r="N44" s="98" t="s">
        <v>341</v>
      </c>
      <c r="O44" s="98" t="s">
        <v>347</v>
      </c>
      <c r="P44" s="98" t="s">
        <v>348</v>
      </c>
      <c r="Q44" s="98" t="s">
        <v>342</v>
      </c>
      <c r="R44" s="98" t="s">
        <v>349</v>
      </c>
      <c r="S44" s="98" t="s">
        <v>343</v>
      </c>
      <c r="T44" s="98" t="s">
        <v>344</v>
      </c>
      <c r="U44" s="98" t="s">
        <v>350</v>
      </c>
      <c r="V44" s="98" t="s">
        <v>351</v>
      </c>
      <c r="W44" s="98" t="s">
        <v>424</v>
      </c>
      <c r="X44" s="98" t="s">
        <v>345</v>
      </c>
      <c r="Y44" s="98" t="s">
        <v>353</v>
      </c>
      <c r="Z44" s="308" t="s">
        <v>354</v>
      </c>
      <c r="AA44" s="411">
        <v>1</v>
      </c>
      <c r="AB44" s="103"/>
      <c r="AC44" s="98"/>
      <c r="AD44" s="98"/>
      <c r="AE44" s="98"/>
      <c r="AF44" s="98"/>
      <c r="AG44" s="98"/>
      <c r="AH44" s="98"/>
      <c r="AI44" s="98"/>
      <c r="AJ44" s="98"/>
      <c r="AK44" s="98"/>
      <c r="AL44" s="411">
        <v>1</v>
      </c>
      <c r="AM44" s="6"/>
      <c r="AN44" s="6"/>
      <c r="AO44" s="6"/>
      <c r="AP44" s="6"/>
      <c r="AQ44" s="6"/>
      <c r="AR44" s="6"/>
      <c r="AS44" s="6"/>
      <c r="AT44" s="6">
        <f t="shared" si="0"/>
        <v>0</v>
      </c>
      <c r="AU44" s="6"/>
      <c r="AV44" s="6"/>
      <c r="AW44" s="6"/>
      <c r="AX44" s="6"/>
      <c r="AY44" s="6"/>
      <c r="AZ44" s="6"/>
    </row>
    <row r="45" spans="1:52" ht="12.75" customHeight="1">
      <c r="A45" s="12">
        <f>IF('СПИСОК КЛАССА'!J45&gt;0,1,0)</f>
        <v>1</v>
      </c>
      <c r="B45" s="206">
        <v>26</v>
      </c>
      <c r="C45" s="209">
        <f>IF(NOT(ISBLANK('СПИСОК КЛАССА'!C45)),'СПИСОК КЛАССА'!C45,"")</f>
        <v>26</v>
      </c>
      <c r="D45" s="280" t="str">
        <f>IF(NOT(ISBLANK('СПИСОК КЛАССА'!D45)),IF($A45=1,'СПИСОК КЛАССА'!D45, "УЧЕНИК НЕ ВЫПОЛНЯЛ РАБОТУ"),"")</f>
        <v>РЫБКО МАТВЕЙ</v>
      </c>
      <c r="E45" s="411">
        <v>3</v>
      </c>
      <c r="F45" s="411">
        <v>3</v>
      </c>
      <c r="G45" s="304" t="s">
        <v>371</v>
      </c>
      <c r="H45" s="98" t="s">
        <v>363</v>
      </c>
      <c r="I45" s="98" t="s">
        <v>372</v>
      </c>
      <c r="J45" s="98" t="s">
        <v>364</v>
      </c>
      <c r="K45" s="98" t="s">
        <v>339</v>
      </c>
      <c r="L45" s="98" t="s">
        <v>365</v>
      </c>
      <c r="M45" s="98" t="s">
        <v>375</v>
      </c>
      <c r="N45" s="98" t="s">
        <v>374</v>
      </c>
      <c r="O45" s="98" t="s">
        <v>376</v>
      </c>
      <c r="P45" s="98" t="s">
        <v>373</v>
      </c>
      <c r="Q45" s="98" t="s">
        <v>366</v>
      </c>
      <c r="R45" s="98" t="s">
        <v>343</v>
      </c>
      <c r="S45" s="98" t="s">
        <v>345</v>
      </c>
      <c r="T45" s="98" t="s">
        <v>377</v>
      </c>
      <c r="U45" s="98" t="s">
        <v>378</v>
      </c>
      <c r="V45" s="98" t="s">
        <v>344</v>
      </c>
      <c r="W45" s="98" t="s">
        <v>391</v>
      </c>
      <c r="X45" s="98" t="s">
        <v>379</v>
      </c>
      <c r="Y45" s="98" t="s">
        <v>370</v>
      </c>
      <c r="Z45" s="308" t="s">
        <v>380</v>
      </c>
      <c r="AA45" s="411">
        <v>2</v>
      </c>
      <c r="AB45" s="103"/>
      <c r="AC45" s="98"/>
      <c r="AD45" s="98"/>
      <c r="AE45" s="98"/>
      <c r="AF45" s="98"/>
      <c r="AG45" s="98"/>
      <c r="AH45" s="98"/>
      <c r="AI45" s="98"/>
      <c r="AJ45" s="98"/>
      <c r="AK45" s="98"/>
      <c r="AL45" s="411">
        <v>1</v>
      </c>
      <c r="AM45" s="6"/>
      <c r="AN45" s="6"/>
      <c r="AO45" s="6"/>
      <c r="AP45" s="6"/>
      <c r="AQ45" s="6"/>
      <c r="AR45" s="6"/>
      <c r="AS45" s="6"/>
      <c r="AT45" s="6">
        <f t="shared" si="0"/>
        <v>0</v>
      </c>
      <c r="AU45" s="6"/>
      <c r="AV45" s="6"/>
      <c r="AW45" s="6"/>
      <c r="AX45" s="6"/>
      <c r="AY45" s="6"/>
      <c r="AZ45" s="6"/>
    </row>
    <row r="46" spans="1:52" ht="12.75" customHeight="1">
      <c r="A46" s="12">
        <f>IF('СПИСОК КЛАССА'!J46&gt;0,1,0)</f>
        <v>1</v>
      </c>
      <c r="B46" s="206">
        <v>27</v>
      </c>
      <c r="C46" s="209">
        <f>IF(NOT(ISBLANK('СПИСОК КЛАССА'!C46)),'СПИСОК КЛАССА'!C46,"")</f>
        <v>27</v>
      </c>
      <c r="D46" s="280" t="str">
        <f>IF(NOT(ISBLANK('СПИСОК КЛАССА'!D46)),IF($A46=1,'СПИСОК КЛАССА'!D46, "УЧЕНИК НЕ ВЫПОЛНЯЛ РАБОТУ"),"")</f>
        <v>САЯПИНА АЛИСА</v>
      </c>
      <c r="E46" s="411">
        <v>1</v>
      </c>
      <c r="F46" s="411">
        <v>2</v>
      </c>
      <c r="G46" s="304" t="s">
        <v>335</v>
      </c>
      <c r="H46" s="98" t="s">
        <v>346</v>
      </c>
      <c r="I46" s="98" t="s">
        <v>337</v>
      </c>
      <c r="J46" s="98" t="s">
        <v>340</v>
      </c>
      <c r="K46" s="98" t="s">
        <v>338</v>
      </c>
      <c r="L46" s="98" t="s">
        <v>336</v>
      </c>
      <c r="M46" s="98" t="s">
        <v>339</v>
      </c>
      <c r="N46" s="98" t="s">
        <v>341</v>
      </c>
      <c r="O46" s="98" t="s">
        <v>347</v>
      </c>
      <c r="P46" s="98" t="s">
        <v>346</v>
      </c>
      <c r="Q46" s="98" t="s">
        <v>342</v>
      </c>
      <c r="R46" s="98" t="s">
        <v>409</v>
      </c>
      <c r="S46" s="98" t="s">
        <v>343</v>
      </c>
      <c r="T46" s="98" t="s">
        <v>344</v>
      </c>
      <c r="U46" s="98" t="s">
        <v>350</v>
      </c>
      <c r="V46" s="98" t="s">
        <v>131</v>
      </c>
      <c r="W46" s="98" t="s">
        <v>425</v>
      </c>
      <c r="X46" s="98" t="s">
        <v>345</v>
      </c>
      <c r="Y46" s="98" t="s">
        <v>353</v>
      </c>
      <c r="Z46" s="308" t="s">
        <v>354</v>
      </c>
      <c r="AA46" s="411">
        <v>1</v>
      </c>
      <c r="AB46" s="103"/>
      <c r="AC46" s="98"/>
      <c r="AD46" s="98"/>
      <c r="AE46" s="98"/>
      <c r="AF46" s="98"/>
      <c r="AG46" s="98"/>
      <c r="AH46" s="98"/>
      <c r="AI46" s="98"/>
      <c r="AJ46" s="98"/>
      <c r="AK46" s="98"/>
      <c r="AL46" s="411">
        <v>1</v>
      </c>
      <c r="AM46" s="6"/>
      <c r="AN46" s="6"/>
      <c r="AO46" s="6"/>
      <c r="AP46" s="6"/>
      <c r="AQ46" s="6"/>
      <c r="AR46" s="6"/>
      <c r="AS46" s="6"/>
      <c r="AT46" s="6">
        <f t="shared" si="0"/>
        <v>0</v>
      </c>
      <c r="AU46" s="6"/>
      <c r="AV46" s="6"/>
      <c r="AW46" s="6"/>
      <c r="AX46" s="6"/>
      <c r="AY46" s="6"/>
      <c r="AZ46" s="6"/>
    </row>
    <row r="47" spans="1:52" ht="12.75" customHeight="1">
      <c r="A47" s="12">
        <f>IF('СПИСОК КЛАССА'!J47&gt;0,1,0)</f>
        <v>1</v>
      </c>
      <c r="B47" s="206">
        <v>28</v>
      </c>
      <c r="C47" s="209">
        <f>IF(NOT(ISBLANK('СПИСОК КЛАССА'!C47)),'СПИСОК КЛАССА'!C47,"")</f>
        <v>28</v>
      </c>
      <c r="D47" s="280" t="str">
        <f>IF(NOT(ISBLANK('СПИСОК КЛАССА'!D47)),IF($A47=1,'СПИСОК КЛАССА'!D47, "УЧЕНИК НЕ ВЫПОЛНЯЛ РАБОТУ"),"")</f>
        <v>СЕМЕНОВ ГРИГОРИЙ</v>
      </c>
      <c r="E47" s="411">
        <v>3</v>
      </c>
      <c r="F47" s="411">
        <v>3</v>
      </c>
      <c r="G47" s="304" t="s">
        <v>371</v>
      </c>
      <c r="H47" s="98" t="s">
        <v>363</v>
      </c>
      <c r="I47" s="98" t="s">
        <v>372</v>
      </c>
      <c r="J47" s="98" t="s">
        <v>364</v>
      </c>
      <c r="K47" s="98" t="s">
        <v>339</v>
      </c>
      <c r="L47" s="98" t="s">
        <v>365</v>
      </c>
      <c r="M47" s="98" t="s">
        <v>375</v>
      </c>
      <c r="N47" s="98" t="s">
        <v>374</v>
      </c>
      <c r="O47" s="98" t="s">
        <v>376</v>
      </c>
      <c r="P47" s="98" t="s">
        <v>373</v>
      </c>
      <c r="Q47" s="98" t="s">
        <v>366</v>
      </c>
      <c r="R47" s="98" t="s">
        <v>343</v>
      </c>
      <c r="S47" s="98" t="s">
        <v>345</v>
      </c>
      <c r="T47" s="98" t="s">
        <v>377</v>
      </c>
      <c r="U47" s="98" t="s">
        <v>426</v>
      </c>
      <c r="V47" s="98" t="s">
        <v>344</v>
      </c>
      <c r="W47" s="98" t="s">
        <v>391</v>
      </c>
      <c r="X47" s="98" t="s">
        <v>427</v>
      </c>
      <c r="Y47" s="98" t="s">
        <v>370</v>
      </c>
      <c r="Z47" s="308" t="s">
        <v>428</v>
      </c>
      <c r="AA47" s="411">
        <v>1</v>
      </c>
      <c r="AB47" s="103"/>
      <c r="AC47" s="98"/>
      <c r="AD47" s="98"/>
      <c r="AE47" s="98"/>
      <c r="AF47" s="98"/>
      <c r="AG47" s="98"/>
      <c r="AH47" s="98"/>
      <c r="AI47" s="98"/>
      <c r="AJ47" s="98"/>
      <c r="AK47" s="98"/>
      <c r="AL47" s="411">
        <v>1</v>
      </c>
      <c r="AM47" s="6"/>
      <c r="AN47" s="6"/>
      <c r="AO47" s="6"/>
      <c r="AP47" s="6"/>
      <c r="AQ47" s="6"/>
      <c r="AR47" s="6"/>
      <c r="AS47" s="6"/>
      <c r="AT47" s="6">
        <f t="shared" si="0"/>
        <v>0</v>
      </c>
      <c r="AU47" s="6"/>
      <c r="AV47" s="6"/>
      <c r="AW47" s="6"/>
      <c r="AX47" s="6"/>
      <c r="AY47" s="6"/>
      <c r="AZ47" s="6"/>
    </row>
    <row r="48" spans="1:52" ht="12.75" customHeight="1">
      <c r="A48" s="12">
        <f>IF('СПИСОК КЛАССА'!J48&gt;0,1,0)</f>
        <v>1</v>
      </c>
      <c r="B48" s="206">
        <v>29</v>
      </c>
      <c r="C48" s="209">
        <f>IF(NOT(ISBLANK('СПИСОК КЛАССА'!C48)),'СПИСОК КЛАССА'!C48,"")</f>
        <v>29</v>
      </c>
      <c r="D48" s="280" t="str">
        <f>IF(NOT(ISBLANK('СПИСОК КЛАССА'!D48)),IF($A48=1,'СПИСОК КЛАССА'!D48, "УЧЕНИК НЕ ВЫПОЛНЯЛ РАБОТУ"),"")</f>
        <v>СЕРГАЧ ЕГОР</v>
      </c>
      <c r="E48" s="411">
        <v>1</v>
      </c>
      <c r="F48" s="411">
        <v>2</v>
      </c>
      <c r="G48" s="304" t="s">
        <v>335</v>
      </c>
      <c r="H48" s="98" t="s">
        <v>346</v>
      </c>
      <c r="I48" s="98" t="s">
        <v>340</v>
      </c>
      <c r="J48" s="98" t="s">
        <v>337</v>
      </c>
      <c r="K48" s="98" t="s">
        <v>336</v>
      </c>
      <c r="L48" s="98" t="s">
        <v>338</v>
      </c>
      <c r="M48" s="98" t="s">
        <v>341</v>
      </c>
      <c r="N48" s="98" t="s">
        <v>339</v>
      </c>
      <c r="O48" s="98" t="s">
        <v>347</v>
      </c>
      <c r="P48" s="98" t="s">
        <v>348</v>
      </c>
      <c r="Q48" s="98" t="s">
        <v>342</v>
      </c>
      <c r="R48" s="98" t="s">
        <v>349</v>
      </c>
      <c r="S48" s="98" t="s">
        <v>343</v>
      </c>
      <c r="T48" s="98" t="s">
        <v>344</v>
      </c>
      <c r="U48" s="98" t="s">
        <v>350</v>
      </c>
      <c r="V48" s="98" t="s">
        <v>351</v>
      </c>
      <c r="W48" s="98" t="s">
        <v>424</v>
      </c>
      <c r="X48" s="98" t="s">
        <v>345</v>
      </c>
      <c r="Y48" s="98" t="s">
        <v>353</v>
      </c>
      <c r="Z48" s="308" t="s">
        <v>354</v>
      </c>
      <c r="AA48" s="411">
        <v>1</v>
      </c>
      <c r="AB48" s="103"/>
      <c r="AC48" s="98"/>
      <c r="AD48" s="98"/>
      <c r="AE48" s="98"/>
      <c r="AF48" s="98"/>
      <c r="AG48" s="98"/>
      <c r="AH48" s="98"/>
      <c r="AI48" s="98"/>
      <c r="AJ48" s="98"/>
      <c r="AK48" s="98"/>
      <c r="AL48" s="411">
        <v>1</v>
      </c>
      <c r="AM48" s="6"/>
      <c r="AN48" s="6"/>
      <c r="AO48" s="6"/>
      <c r="AP48" s="6"/>
      <c r="AQ48" s="6"/>
      <c r="AR48" s="6"/>
      <c r="AS48" s="6"/>
      <c r="AT48" s="6">
        <f t="shared" si="0"/>
        <v>0</v>
      </c>
      <c r="AU48" s="6"/>
      <c r="AV48" s="6"/>
      <c r="AW48" s="6"/>
      <c r="AX48" s="6"/>
      <c r="AY48" s="6"/>
      <c r="AZ48" s="6"/>
    </row>
    <row r="49" spans="1:72" ht="12.75" customHeight="1">
      <c r="A49" s="12">
        <f>IF('СПИСОК КЛАССА'!J49&gt;0,1,0)</f>
        <v>0</v>
      </c>
      <c r="B49" s="206">
        <v>30</v>
      </c>
      <c r="C49" s="209" t="str">
        <f>IF(NOT(ISBLANK('СПИСОК КЛАССА'!C49)),'СПИСОК КЛАССА'!C49,"")</f>
        <v/>
      </c>
      <c r="D49" s="280" t="str">
        <f>IF(NOT(ISBLANK('СПИСОК КЛАССА'!D49)),IF($A49=1,'СПИСОК КЛАССА'!D49, "УЧЕНИК НЕ ВЫПОЛНЯЛ РАБОТУ"),"")</f>
        <v/>
      </c>
      <c r="E49" s="411"/>
      <c r="F49" s="411"/>
      <c r="G49" s="304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308"/>
      <c r="AA49" s="411"/>
      <c r="AB49" s="103"/>
      <c r="AC49" s="98"/>
      <c r="AD49" s="98"/>
      <c r="AE49" s="98"/>
      <c r="AF49" s="98"/>
      <c r="AG49" s="98"/>
      <c r="AH49" s="98"/>
      <c r="AI49" s="98"/>
      <c r="AJ49" s="98"/>
      <c r="AK49" s="98"/>
      <c r="AL49" s="305"/>
      <c r="AM49" s="6"/>
      <c r="AN49" s="6"/>
      <c r="AO49" s="6"/>
      <c r="AP49" s="6"/>
      <c r="AQ49" s="6"/>
      <c r="AR49" s="6"/>
      <c r="AS49" s="6"/>
      <c r="AT49" s="6">
        <f t="shared" si="0"/>
        <v>0</v>
      </c>
      <c r="AU49" s="6"/>
      <c r="AV49" s="6"/>
      <c r="AW49" s="6"/>
      <c r="AX49" s="6"/>
      <c r="AY49" s="6"/>
      <c r="AZ49" s="6"/>
    </row>
    <row r="50" spans="1:72" ht="12.75" customHeight="1">
      <c r="A50" s="12">
        <f>IF('СПИСОК КЛАССА'!J50&gt;0,1,0)</f>
        <v>0</v>
      </c>
      <c r="B50" s="206">
        <v>31</v>
      </c>
      <c r="C50" s="209" t="str">
        <f>IF(NOT(ISBLANK('СПИСОК КЛАССА'!C50)),'СПИСОК КЛАССА'!C50,"")</f>
        <v/>
      </c>
      <c r="D50" s="280" t="str">
        <f>IF(NOT(ISBLANK('СПИСОК КЛАССА'!D50)),IF($A50=1,'СПИСОК КЛАССА'!D50, "УЧЕНИК НЕ ВЫПОЛНЯЛ РАБОТУ"),"")</f>
        <v/>
      </c>
      <c r="E50" s="411"/>
      <c r="F50" s="411"/>
      <c r="G50" s="304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308"/>
      <c r="AA50" s="411"/>
      <c r="AB50" s="103"/>
      <c r="AC50" s="98"/>
      <c r="AD50" s="98"/>
      <c r="AE50" s="98"/>
      <c r="AF50" s="98"/>
      <c r="AG50" s="98"/>
      <c r="AH50" s="98"/>
      <c r="AI50" s="98"/>
      <c r="AJ50" s="98"/>
      <c r="AK50" s="98"/>
      <c r="AL50" s="305"/>
      <c r="AM50" s="6"/>
      <c r="AN50" s="6"/>
      <c r="AO50" s="6"/>
      <c r="AP50" s="6"/>
      <c r="AQ50" s="6"/>
      <c r="AR50" s="6"/>
      <c r="AS50" s="6"/>
      <c r="AT50" s="6">
        <f t="shared" si="0"/>
        <v>0</v>
      </c>
      <c r="AU50" s="6"/>
      <c r="AV50" s="6"/>
      <c r="AW50" s="6"/>
      <c r="AX50" s="6"/>
      <c r="AY50" s="6"/>
      <c r="AZ50" s="6"/>
    </row>
    <row r="51" spans="1:72" ht="12.75" customHeight="1">
      <c r="A51" s="12">
        <f>IF('СПИСОК КЛАССА'!J51&gt;0,1,0)</f>
        <v>0</v>
      </c>
      <c r="B51" s="206">
        <v>32</v>
      </c>
      <c r="C51" s="209" t="str">
        <f>IF(NOT(ISBLANK('СПИСОК КЛАССА'!C51)),'СПИСОК КЛАССА'!C51,"")</f>
        <v/>
      </c>
      <c r="D51" s="280" t="str">
        <f>IF(NOT(ISBLANK('СПИСОК КЛАССА'!D51)),IF($A51=1,'СПИСОК КЛАССА'!D51, "УЧЕНИК НЕ ВЫПОЛНЯЛ РАБОТУ"),"")</f>
        <v/>
      </c>
      <c r="E51" s="411"/>
      <c r="F51" s="411"/>
      <c r="G51" s="304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308"/>
      <c r="AA51" s="411"/>
      <c r="AB51" s="103"/>
      <c r="AC51" s="98"/>
      <c r="AD51" s="98"/>
      <c r="AE51" s="98"/>
      <c r="AF51" s="98"/>
      <c r="AG51" s="98"/>
      <c r="AH51" s="98"/>
      <c r="AI51" s="98"/>
      <c r="AJ51" s="98"/>
      <c r="AK51" s="98"/>
      <c r="AL51" s="305"/>
      <c r="AM51" s="6"/>
      <c r="AN51" s="6"/>
      <c r="AO51" s="6"/>
      <c r="AP51" s="6"/>
      <c r="AQ51" s="6"/>
      <c r="AR51" s="6"/>
      <c r="AS51" s="6"/>
      <c r="AT51" s="6">
        <f t="shared" si="0"/>
        <v>0</v>
      </c>
      <c r="AU51" s="6"/>
      <c r="AV51" s="6"/>
      <c r="AW51" s="6"/>
      <c r="AX51" s="6"/>
      <c r="AY51" s="6"/>
      <c r="AZ51" s="6"/>
    </row>
    <row r="52" spans="1:72" ht="12.75" customHeight="1">
      <c r="A52" s="12">
        <f>IF('СПИСОК КЛАССА'!J52&gt;0,1,0)</f>
        <v>0</v>
      </c>
      <c r="B52" s="206">
        <v>33</v>
      </c>
      <c r="C52" s="209" t="str">
        <f>IF(NOT(ISBLANK('СПИСОК КЛАССА'!C52)),'СПИСОК КЛАССА'!C52,"")</f>
        <v/>
      </c>
      <c r="D52" s="280" t="str">
        <f>IF(NOT(ISBLANK('СПИСОК КЛАССА'!D52)),IF($A52=1,'СПИСОК КЛАССА'!D52, "УЧЕНИК НЕ ВЫПОЛНЯЛ РАБОТУ"),"")</f>
        <v/>
      </c>
      <c r="E52" s="411"/>
      <c r="F52" s="411"/>
      <c r="G52" s="304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308"/>
      <c r="AA52" s="411"/>
      <c r="AB52" s="103"/>
      <c r="AC52" s="98"/>
      <c r="AD52" s="98"/>
      <c r="AE52" s="98"/>
      <c r="AF52" s="98"/>
      <c r="AG52" s="98"/>
      <c r="AH52" s="98"/>
      <c r="AI52" s="98"/>
      <c r="AJ52" s="98"/>
      <c r="AK52" s="98"/>
      <c r="AL52" s="305"/>
      <c r="AM52" s="6"/>
      <c r="AN52" s="6"/>
      <c r="AO52" s="6"/>
      <c r="AP52" s="6"/>
      <c r="AQ52" s="6"/>
      <c r="AR52" s="6"/>
      <c r="AS52" s="6"/>
      <c r="AT52" s="6">
        <f t="shared" si="0"/>
        <v>0</v>
      </c>
      <c r="AU52" s="6"/>
      <c r="AV52" s="6"/>
      <c r="AW52" s="6"/>
      <c r="AX52" s="6"/>
      <c r="AY52" s="6"/>
      <c r="AZ52" s="6"/>
    </row>
    <row r="53" spans="1:72" ht="12.75" customHeight="1">
      <c r="A53" s="12">
        <f>IF('СПИСОК КЛАССА'!J53&gt;0,1,0)</f>
        <v>0</v>
      </c>
      <c r="B53" s="206">
        <v>34</v>
      </c>
      <c r="C53" s="209" t="str">
        <f>IF(NOT(ISBLANK('СПИСОК КЛАССА'!C53)),'СПИСОК КЛАССА'!C53,"")</f>
        <v/>
      </c>
      <c r="D53" s="280" t="str">
        <f>IF(NOT(ISBLANK('СПИСОК КЛАССА'!D53)),IF($A53=1,'СПИСОК КЛАССА'!D53, "УЧЕНИК НЕ ВЫПОЛНЯЛ РАБОТУ"),"")</f>
        <v/>
      </c>
      <c r="E53" s="411"/>
      <c r="F53" s="411"/>
      <c r="G53" s="304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308"/>
      <c r="AA53" s="411"/>
      <c r="AB53" s="103"/>
      <c r="AC53" s="98"/>
      <c r="AD53" s="98"/>
      <c r="AE53" s="98"/>
      <c r="AF53" s="98"/>
      <c r="AG53" s="98"/>
      <c r="AH53" s="98"/>
      <c r="AI53" s="98"/>
      <c r="AJ53" s="98"/>
      <c r="AK53" s="98"/>
      <c r="AL53" s="305"/>
      <c r="AM53" s="6"/>
      <c r="AN53" s="6"/>
      <c r="AO53" s="6"/>
      <c r="AP53" s="6"/>
      <c r="AQ53" s="6"/>
      <c r="AR53" s="6"/>
      <c r="AS53" s="6"/>
      <c r="AT53" s="6">
        <f t="shared" si="0"/>
        <v>0</v>
      </c>
      <c r="AU53" s="6"/>
      <c r="AV53" s="6"/>
      <c r="AW53" s="6"/>
      <c r="AX53" s="6"/>
      <c r="AY53" s="6"/>
      <c r="AZ53" s="6"/>
    </row>
    <row r="54" spans="1:72" ht="12.75" customHeight="1">
      <c r="A54" s="12">
        <f>IF('СПИСОК КЛАССА'!J54&gt;0,1,0)</f>
        <v>0</v>
      </c>
      <c r="B54" s="206">
        <v>35</v>
      </c>
      <c r="C54" s="209" t="str">
        <f>IF(NOT(ISBLANK('СПИСОК КЛАССА'!C54)),'СПИСОК КЛАССА'!C54,"")</f>
        <v/>
      </c>
      <c r="D54" s="280" t="str">
        <f>IF(NOT(ISBLANK('СПИСОК КЛАССА'!D54)),IF($A54=1,'СПИСОК КЛАССА'!D54, "УЧЕНИК НЕ ВЫПОЛНЯЛ РАБОТУ"),"")</f>
        <v/>
      </c>
      <c r="E54" s="411"/>
      <c r="F54" s="411"/>
      <c r="G54" s="304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308"/>
      <c r="AA54" s="411"/>
      <c r="AB54" s="103"/>
      <c r="AC54" s="98"/>
      <c r="AD54" s="98"/>
      <c r="AE54" s="98"/>
      <c r="AF54" s="98"/>
      <c r="AG54" s="98"/>
      <c r="AH54" s="98"/>
      <c r="AI54" s="98"/>
      <c r="AJ54" s="98"/>
      <c r="AK54" s="98"/>
      <c r="AL54" s="305"/>
      <c r="AM54" s="6"/>
      <c r="AN54" s="6"/>
      <c r="AO54" s="6"/>
      <c r="AP54" s="6"/>
      <c r="AQ54" s="6"/>
      <c r="AR54" s="6"/>
      <c r="AS54" s="6"/>
      <c r="AT54" s="6">
        <f t="shared" si="0"/>
        <v>0</v>
      </c>
      <c r="AU54" s="6"/>
      <c r="AV54" s="6"/>
      <c r="AW54" s="6"/>
      <c r="AX54" s="6"/>
      <c r="AY54" s="6"/>
      <c r="AZ54" s="6"/>
    </row>
    <row r="55" spans="1:72" ht="12.75" customHeight="1">
      <c r="A55" s="12">
        <f>IF('СПИСОК КЛАССА'!J55&gt;0,1,0)</f>
        <v>0</v>
      </c>
      <c r="B55" s="206">
        <v>36</v>
      </c>
      <c r="C55" s="209" t="str">
        <f>IF(NOT(ISBLANK('СПИСОК КЛАССА'!C55)),'СПИСОК КЛАССА'!C55,"")</f>
        <v/>
      </c>
      <c r="D55" s="280" t="str">
        <f>IF(NOT(ISBLANK('СПИСОК КЛАССА'!D55)),IF($A55=1,'СПИСОК КЛАССА'!D55, "УЧЕНИК НЕ ВЫПОЛНЯЛ РАБОТУ"),"")</f>
        <v/>
      </c>
      <c r="E55" s="411"/>
      <c r="F55" s="411"/>
      <c r="G55" s="304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308"/>
      <c r="AA55" s="411"/>
      <c r="AB55" s="103"/>
      <c r="AC55" s="98"/>
      <c r="AD55" s="98"/>
      <c r="AE55" s="98"/>
      <c r="AF55" s="98"/>
      <c r="AG55" s="98"/>
      <c r="AH55" s="98"/>
      <c r="AI55" s="98"/>
      <c r="AJ55" s="98"/>
      <c r="AK55" s="98"/>
      <c r="AL55" s="305"/>
      <c r="AM55" s="6"/>
      <c r="AN55" s="6"/>
      <c r="AO55" s="6"/>
      <c r="AP55" s="6"/>
      <c r="AQ55" s="6"/>
      <c r="AR55" s="6"/>
      <c r="AS55" s="6"/>
      <c r="AT55" s="6">
        <f t="shared" si="0"/>
        <v>0</v>
      </c>
      <c r="AU55" s="6"/>
      <c r="AV55" s="6"/>
      <c r="AW55" s="6"/>
      <c r="AX55" s="6"/>
      <c r="AY55" s="6"/>
      <c r="AZ55" s="6"/>
    </row>
    <row r="56" spans="1:72" ht="12.75" customHeight="1">
      <c r="A56" s="12">
        <f>IF('СПИСОК КЛАССА'!J56&gt;0,1,0)</f>
        <v>0</v>
      </c>
      <c r="B56" s="206">
        <v>37</v>
      </c>
      <c r="C56" s="209" t="str">
        <f>IF(NOT(ISBLANK('СПИСОК КЛАССА'!C56)),'СПИСОК КЛАССА'!C56,"")</f>
        <v/>
      </c>
      <c r="D56" s="280" t="str">
        <f>IF(NOT(ISBLANK('СПИСОК КЛАССА'!D56)),IF($A56=1,'СПИСОК КЛАССА'!D56, "УЧЕНИК НЕ ВЫПОЛНЯЛ РАБОТУ"),"")</f>
        <v/>
      </c>
      <c r="E56" s="411"/>
      <c r="F56" s="411"/>
      <c r="G56" s="304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308"/>
      <c r="AA56" s="411"/>
      <c r="AB56" s="103"/>
      <c r="AC56" s="98"/>
      <c r="AD56" s="98"/>
      <c r="AE56" s="98"/>
      <c r="AF56" s="98"/>
      <c r="AG56" s="98"/>
      <c r="AH56" s="98"/>
      <c r="AI56" s="98"/>
      <c r="AJ56" s="98"/>
      <c r="AK56" s="98"/>
      <c r="AL56" s="305"/>
      <c r="AM56" s="6"/>
      <c r="AN56" s="6"/>
      <c r="AO56" s="6"/>
      <c r="AP56" s="6"/>
      <c r="AQ56" s="6"/>
      <c r="AR56" s="6"/>
      <c r="AS56" s="6"/>
      <c r="AT56" s="6">
        <f t="shared" si="0"/>
        <v>0</v>
      </c>
      <c r="AU56" s="6"/>
      <c r="AV56" s="6"/>
      <c r="AW56" s="6"/>
      <c r="AX56" s="6"/>
      <c r="AY56" s="6"/>
      <c r="AZ56" s="6"/>
    </row>
    <row r="57" spans="1:72" ht="12.75" customHeight="1">
      <c r="A57" s="12">
        <f>IF('СПИСОК КЛАССА'!J57&gt;0,1,0)</f>
        <v>0</v>
      </c>
      <c r="B57" s="206">
        <v>38</v>
      </c>
      <c r="C57" s="209" t="str">
        <f>IF(NOT(ISBLANK('СПИСОК КЛАССА'!C57)),'СПИСОК КЛАССА'!C57,"")</f>
        <v/>
      </c>
      <c r="D57" s="280" t="str">
        <f>IF(NOT(ISBLANK('СПИСОК КЛАССА'!D57)),IF($A57=1,'СПИСОК КЛАССА'!D57, "УЧЕНИК НЕ ВЫПОЛНЯЛ РАБОТУ"),"")</f>
        <v/>
      </c>
      <c r="E57" s="411"/>
      <c r="F57" s="411"/>
      <c r="G57" s="304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308"/>
      <c r="AA57" s="411"/>
      <c r="AB57" s="103"/>
      <c r="AC57" s="98"/>
      <c r="AD57" s="98"/>
      <c r="AE57" s="98"/>
      <c r="AF57" s="98"/>
      <c r="AG57" s="98"/>
      <c r="AH57" s="98"/>
      <c r="AI57" s="98"/>
      <c r="AJ57" s="98"/>
      <c r="AK57" s="98"/>
      <c r="AL57" s="305"/>
      <c r="AM57" s="6"/>
      <c r="AN57" s="6"/>
      <c r="AO57" s="6"/>
      <c r="AP57" s="6"/>
      <c r="AQ57" s="6"/>
      <c r="AR57" s="6"/>
      <c r="AS57" s="6"/>
      <c r="AT57" s="6">
        <f t="shared" si="0"/>
        <v>0</v>
      </c>
      <c r="AU57" s="6"/>
      <c r="AV57" s="6"/>
      <c r="AW57" s="6"/>
      <c r="AX57" s="6"/>
      <c r="AY57" s="6"/>
      <c r="AZ57" s="6"/>
    </row>
    <row r="58" spans="1:72" ht="12.75" customHeight="1">
      <c r="A58" s="12">
        <f>IF('СПИСОК КЛАССА'!J58&gt;0,1,0)</f>
        <v>0</v>
      </c>
      <c r="B58" s="206">
        <v>39</v>
      </c>
      <c r="C58" s="209" t="str">
        <f>IF(NOT(ISBLANK('СПИСОК КЛАССА'!C58)),'СПИСОК КЛАССА'!C58,"")</f>
        <v/>
      </c>
      <c r="D58" s="280" t="str">
        <f>IF(NOT(ISBLANK('СПИСОК КЛАССА'!D58)),IF($A58=1,'СПИСОК КЛАССА'!D58, "УЧЕНИК НЕ ВЫПОЛНЯЛ РАБОТУ"),"")</f>
        <v/>
      </c>
      <c r="E58" s="411"/>
      <c r="F58" s="411"/>
      <c r="G58" s="304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308"/>
      <c r="AA58" s="411"/>
      <c r="AB58" s="103"/>
      <c r="AC58" s="98"/>
      <c r="AD58" s="98"/>
      <c r="AE58" s="98"/>
      <c r="AF58" s="98"/>
      <c r="AG58" s="98"/>
      <c r="AH58" s="98"/>
      <c r="AI58" s="98"/>
      <c r="AJ58" s="98"/>
      <c r="AK58" s="98"/>
      <c r="AL58" s="305"/>
      <c r="AM58" s="6"/>
      <c r="AN58" s="6"/>
      <c r="AO58" s="6"/>
      <c r="AP58" s="6"/>
      <c r="AQ58" s="6"/>
      <c r="AR58" s="6"/>
      <c r="AS58" s="6"/>
      <c r="AT58" s="6">
        <f t="shared" si="0"/>
        <v>0</v>
      </c>
      <c r="AU58" s="6"/>
      <c r="AV58" s="6"/>
      <c r="AW58" s="6"/>
      <c r="AX58" s="6"/>
      <c r="AY58" s="6"/>
      <c r="AZ58" s="6"/>
    </row>
    <row r="59" spans="1:72" ht="12.75" customHeight="1" thickBot="1">
      <c r="A59" s="126">
        <f>IF('СПИСОК КЛАССА'!J59&gt;0,1,0)</f>
        <v>0</v>
      </c>
      <c r="B59" s="207">
        <v>40</v>
      </c>
      <c r="C59" s="210" t="str">
        <f>IF(NOT(ISBLANK('СПИСОК КЛАССА'!C59)),'СПИСОК КЛАССА'!C59,"")</f>
        <v/>
      </c>
      <c r="D59" s="281" t="str">
        <f>IF(NOT(ISBLANK('СПИСОК КЛАССА'!D59)),IF($A59=1,'СПИСОК КЛАССА'!D59, "УЧЕНИК НЕ ВЫПОЛНЯЛ РАБОТУ"),"")</f>
        <v/>
      </c>
      <c r="E59" s="412"/>
      <c r="F59" s="412"/>
      <c r="G59" s="405"/>
      <c r="H59" s="406"/>
      <c r="I59" s="406"/>
      <c r="J59" s="406"/>
      <c r="K59" s="406"/>
      <c r="L59" s="406"/>
      <c r="M59" s="406"/>
      <c r="N59" s="406"/>
      <c r="O59" s="406"/>
      <c r="P59" s="406"/>
      <c r="Q59" s="406"/>
      <c r="R59" s="406"/>
      <c r="S59" s="406"/>
      <c r="T59" s="406"/>
      <c r="U59" s="406"/>
      <c r="V59" s="406"/>
      <c r="W59" s="406"/>
      <c r="X59" s="406"/>
      <c r="Y59" s="406"/>
      <c r="Z59" s="415"/>
      <c r="AA59" s="412"/>
      <c r="AB59" s="409"/>
      <c r="AC59" s="406"/>
      <c r="AD59" s="406"/>
      <c r="AE59" s="406"/>
      <c r="AF59" s="406"/>
      <c r="AG59" s="406"/>
      <c r="AH59" s="406"/>
      <c r="AI59" s="406"/>
      <c r="AJ59" s="406"/>
      <c r="AK59" s="406"/>
      <c r="AL59" s="407"/>
      <c r="AM59" s="6"/>
      <c r="AN59" s="6"/>
      <c r="AO59" s="6"/>
      <c r="AP59" s="6"/>
      <c r="AQ59" s="6"/>
      <c r="AR59" s="6"/>
      <c r="AS59" s="6"/>
      <c r="AT59" s="6">
        <f t="shared" si="0"/>
        <v>0</v>
      </c>
      <c r="AU59" s="6"/>
      <c r="AV59" s="6"/>
      <c r="AW59" s="6"/>
      <c r="AX59" s="6"/>
      <c r="AY59" s="6"/>
      <c r="AZ59" s="6"/>
    </row>
    <row r="60" spans="1:7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</row>
    <row r="61" spans="1:7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</row>
    <row r="62" spans="1:7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</row>
    <row r="63" spans="1:7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</row>
    <row r="64" spans="1:7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</row>
    <row r="65" spans="1:7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</row>
    <row r="66" spans="1:7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</row>
    <row r="67" spans="1:7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</row>
    <row r="68" spans="1:7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</row>
    <row r="69" spans="1:7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</row>
    <row r="70" spans="1:7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</row>
    <row r="71" spans="1:7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</row>
    <row r="72" spans="1: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</row>
    <row r="73" spans="1:7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</row>
    <row r="74" spans="1:7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</row>
    <row r="75" spans="1:7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</row>
    <row r="76" spans="1:7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</row>
    <row r="77" spans="1:7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</row>
    <row r="78" spans="1:7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</row>
    <row r="79" spans="1:7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</row>
    <row r="80" spans="1:7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</row>
    <row r="81" spans="1:7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</row>
    <row r="82" spans="1:7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</row>
    <row r="83" spans="1:7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</row>
    <row r="84" spans="1:7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</row>
    <row r="85" spans="1:7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</row>
    <row r="86" spans="1:7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</row>
    <row r="87" spans="1:7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</row>
    <row r="88" spans="1:7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</row>
    <row r="89" spans="1:7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</row>
    <row r="90" spans="1:7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</row>
    <row r="91" spans="1:7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</row>
    <row r="92" spans="1:7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</row>
    <row r="93" spans="1:7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</row>
    <row r="94" spans="1:7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</row>
    <row r="95" spans="1:7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</row>
    <row r="96" spans="1:7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</row>
    <row r="97" spans="1:7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</row>
    <row r="98" spans="1:7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</row>
    <row r="99" spans="1:7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</row>
    <row r="100" spans="1:7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</row>
    <row r="101" spans="1:7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</row>
    <row r="102" spans="1:7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</row>
    <row r="103" spans="1:7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</row>
    <row r="104" spans="1:7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</row>
    <row r="105" spans="1:7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</row>
    <row r="106" spans="1:7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</row>
    <row r="107" spans="1:7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</row>
    <row r="108" spans="1:7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</row>
    <row r="109" spans="1:7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</row>
    <row r="110" spans="1:7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</row>
    <row r="111" spans="1:7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</row>
    <row r="112" spans="1:7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</row>
    <row r="113" spans="1:7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</row>
    <row r="114" spans="1:7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</row>
    <row r="115" spans="1:7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</row>
    <row r="116" spans="1:7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</row>
    <row r="117" spans="1:7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</row>
    <row r="118" spans="1:7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</row>
    <row r="119" spans="1:7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</row>
    <row r="120" spans="1:7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</row>
    <row r="121" spans="1:7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</row>
    <row r="122" spans="1:7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</row>
    <row r="123" spans="1:7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</row>
    <row r="124" spans="1:7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</row>
    <row r="125" spans="1:7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</row>
    <row r="126" spans="1:7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</row>
    <row r="127" spans="1:7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</row>
    <row r="128" spans="1:7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</row>
    <row r="129" spans="1:7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</row>
    <row r="130" spans="1:7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</row>
    <row r="131" spans="1:7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</row>
    <row r="132" spans="1:7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</row>
    <row r="133" spans="1:7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</row>
    <row r="134" spans="1:7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</row>
    <row r="135" spans="1:7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</row>
    <row r="136" spans="1:7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</row>
    <row r="137" spans="1:7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</row>
    <row r="138" spans="1:7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</row>
    <row r="139" spans="1:7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</row>
    <row r="140" spans="1:7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</row>
    <row r="141" spans="1:7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</row>
    <row r="142" spans="1:7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</row>
    <row r="143" spans="1:7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</row>
    <row r="144" spans="1:7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</row>
    <row r="145" spans="1:7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</row>
    <row r="146" spans="1:7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</row>
    <row r="147" spans="1:7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</row>
    <row r="148" spans="1:7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</row>
    <row r="149" spans="1:7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</row>
    <row r="150" spans="1:7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</row>
    <row r="151" spans="1:7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</row>
    <row r="152" spans="1:7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</row>
    <row r="153" spans="1:7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</row>
    <row r="154" spans="1:7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</row>
    <row r="155" spans="1:7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</row>
    <row r="156" spans="1:7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</row>
    <row r="157" spans="1:7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</row>
    <row r="158" spans="1:7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</row>
    <row r="159" spans="1:7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</row>
    <row r="160" spans="1:7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</row>
    <row r="161" spans="1:7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</row>
    <row r="162" spans="1:7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</row>
  </sheetData>
  <sheetProtection selectLockedCells="1"/>
  <protectedRanges>
    <protectedRange sqref="E20:AL59" name="Диапазон3"/>
  </protectedRanges>
  <customSheetViews>
    <customSheetView guid="{BFE542F4-8A0C-4C42-A5CA-C7B0ACF2717E}" scale="90" hiddenRows="1" hiddenColumns="1" topLeftCell="C1">
      <selection activeCell="AA6" sqref="AA6"/>
      <pageMargins left="0.17" right="0.19" top="0.48583333333333334" bottom="0.17" header="0.17" footer="0.5"/>
      <pageSetup paperSize="9" scale="90" fitToWidth="0" fitToHeight="0" orientation="landscape" r:id="rId1"/>
      <headerFooter alignWithMargins="0">
        <oddHeader>&amp;CКГБУ "Региональный центр оценки качества образования"</oddHeader>
      </headerFooter>
    </customSheetView>
  </customSheetViews>
  <mergeCells count="19">
    <mergeCell ref="E10:AL10"/>
    <mergeCell ref="G4:AG4"/>
    <mergeCell ref="B9:AK9"/>
    <mergeCell ref="C4:F4"/>
    <mergeCell ref="B10:B12"/>
    <mergeCell ref="C10:C12"/>
    <mergeCell ref="D10:D12"/>
    <mergeCell ref="AB12:AC12"/>
    <mergeCell ref="AD12:AE12"/>
    <mergeCell ref="AF12:AG12"/>
    <mergeCell ref="J6:M6"/>
    <mergeCell ref="E11:F11"/>
    <mergeCell ref="G11:Z11"/>
    <mergeCell ref="AA11:AL11"/>
    <mergeCell ref="H2:J2"/>
    <mergeCell ref="K2:M2"/>
    <mergeCell ref="N2:O2"/>
    <mergeCell ref="D2:E2"/>
    <mergeCell ref="F2:G2"/>
  </mergeCells>
  <conditionalFormatting sqref="E20:AL59">
    <cfRule type="expression" dxfId="2" priority="4" stopIfTrue="1">
      <formula>AND(OR($C20&lt;&gt;"",$D20&lt;&gt;""),$A20=1,ISBLANK(E20))</formula>
    </cfRule>
  </conditionalFormatting>
  <dataValidations xWindow="506" yWindow="887" count="47">
    <dataValidation allowBlank="1" showDropDown="1" showInputMessage="1" showErrorMessage="1" promptTitle="13. Ответ учащегося" prompt="Введите числовой ответ учащегося_x000a_Если ученик не дал ответа, введите N." sqref="AB21:AB26 AB28:AB59"/>
    <dataValidation type="list" allowBlank="1" showDropDown="1" showInputMessage="1" showErrorMessage="1" promptTitle="1. Ответ учащегося" prompt="Возможные значения: 0, 1, 2, 3 или 4._x000a_Если ученик не дал ответа, введите N." sqref="E45:E59">
      <formula1>"0,1,2,3,4,N"</formula1>
    </dataValidation>
    <dataValidation type="list" allowBlank="1" showDropDown="1" showInputMessage="1" showErrorMessage="1" promptTitle="2. Ответ учащегося" prompt="Возможные значения: 0, 1, 2, 3 или 4._x000a_Если ученик не дал ответа, введите N." sqref="F45:F59">
      <formula1>"0,1,2,3,4,N"</formula1>
    </dataValidation>
    <dataValidation type="list" allowBlank="1" showDropDown="1" showInputMessage="1" showErrorMessage="1" promptTitle="3. Ответ учащегося" prompt="Возможные значения: 0, 1, 2, 3 или 4._x000a_Если ученик не дал ответа, введите N." sqref="G49:G59">
      <formula1>"0,1,2,3,4,N"</formula1>
    </dataValidation>
    <dataValidation type="list" allowBlank="1" showDropDown="1" showInputMessage="1" showErrorMessage="1" promptTitle="4. Ответ учащегося" prompt="Возможные значения: 0, 1, 2, 3 или 4._x000a_Если ученик не дал ответа, введите N." sqref="H49:H59">
      <formula1>"0,1,2,3,4,N"</formula1>
    </dataValidation>
    <dataValidation type="list" allowBlank="1" showDropDown="1" showInputMessage="1" showErrorMessage="1" promptTitle="5. Ответ учащегося" prompt="Возможные значения: 0, 1, 2, 3 или 4._x000a_Если ученик не дал ответа, введите N." sqref="I49:I59">
      <formula1>"0,1,2,3,4,N"</formula1>
    </dataValidation>
    <dataValidation type="list" allowBlank="1" showDropDown="1" showInputMessage="1" showErrorMessage="1" promptTitle="6. Ответ учащегося" prompt="Возможные значения: 0, 1, 2, 3 или 4._x000a_Если ученик не дал ответа, введите N." sqref="J49:J59">
      <formula1>"0,1,2,3,4,N"</formula1>
    </dataValidation>
    <dataValidation type="list" allowBlank="1" showDropDown="1" showInputMessage="1" showErrorMessage="1" promptTitle="7. Ответ учащегося" prompt="Возможные значения: 0, 1, 2, 3 или 4._x000a_Если ученик не дал ответа, введите N." sqref="K49:K59">
      <formula1>"0,1,2,3,4,N"</formula1>
    </dataValidation>
    <dataValidation type="list" allowBlank="1" showDropDown="1" showInputMessage="1" showErrorMessage="1" promptTitle="8. Ответ учащегося" prompt="Возможные значения: 0, 1, 2, 3 или 4._x000a_Если ученик не дал ответа, введите N." sqref="L49:L59">
      <formula1>"0,1,2,3,4,N"</formula1>
    </dataValidation>
    <dataValidation type="list" allowBlank="1" showDropDown="1" showInputMessage="1" showErrorMessage="1" promptTitle="9. Ответ учащегося" prompt="Возможные значения: 0, 1, 2, 3 или 4._x000a_Если ученик не дал ответа, введите N." sqref="M49:M59">
      <formula1>"0,1,2,3,4,N"</formula1>
    </dataValidation>
    <dataValidation type="list" allowBlank="1" showDropDown="1" showInputMessage="1" showErrorMessage="1" promptTitle="10. Ответ учащегося" prompt="Возможные значения: 0, 1, 2, 3 или 4._x000a_Если ученик не дал ответа, введите N." sqref="N49:N59">
      <formula1>"0,1,2,3,4,N"</formula1>
    </dataValidation>
    <dataValidation type="list" allowBlank="1" showDropDown="1" showInputMessage="1" showErrorMessage="1" promptTitle="11. Ответ учащегося" prompt="Возможные значения: 0, 1, 2, 3 или 4._x000a_Если ученик не дал ответа, введите N." sqref="O49:O59">
      <formula1>"0,1,2,3,4,N"</formula1>
    </dataValidation>
    <dataValidation type="list" allowBlank="1" showDropDown="1" showInputMessage="1" showErrorMessage="1" promptTitle="12. Ответ учащегося" prompt="Возможные значения: 0, 1, 2, 3 или 4._x000a_Если ученик не дал ответа, введите N." sqref="P49:Z59">
      <formula1>"0,1,2,3,4,N"</formula1>
    </dataValidation>
    <dataValidation allowBlank="1" showDropDown="1" showInputMessage="1" showErrorMessage="1" promptTitle="14. Ответ учащегося" prompt="Введите числовой ответ учащегося_x000a_Если ученик не дал ответа, введите N." sqref="AD21:AD26 AD28:AD59"/>
    <dataValidation allowBlank="1" showDropDown="1" showInputMessage="1" showErrorMessage="1" promptTitle="15. Ответ учащегося" prompt="Введите числовой ответ учащегося_x000a_Если ученик не дал ответа, введите N." sqref="AF21:AF26 AF28:AF59"/>
    <dataValidation allowBlank="1" showDropDown="1" showInputMessage="1" showErrorMessage="1" promptTitle="16. Ответ учащегося" prompt="Введите последовательность цифр, указанную в работе учащегося._x000a_Если ученик не дал ответа, введите N." sqref="AH21:AH26 AH28:AH59"/>
    <dataValidation allowBlank="1" showDropDown="1" showInputMessage="1" showErrorMessage="1" promptTitle="17. Ответ учащегося" prompt="Введите последовательность цифр, указанную в работе учащегося._x000a_Если ученик не дал ответа, введите N." sqref="AI21:AI26 AI28:AI59"/>
    <dataValidation allowBlank="1" showDropDown="1" showInputMessage="1" showErrorMessage="1" promptTitle="18. Ответ учащегося" prompt="Введите последовательность цифр, указанную в работе учащегося._x000a_Если ученик не дал ответа, введите N." sqref="AJ21:AJ26 AJ28:AJ59"/>
    <dataValidation allowBlank="1" showDropDown="1" showInputMessage="1" showErrorMessage="1" promptTitle="19. Ответ учащегося" prompt="Введите последовательность цифр, указанную в работе учащегося._x000a_Если ученик не дал ответа, введите N." sqref="AK21:AK26 AK28:AK59"/>
    <dataValidation type="list" allowBlank="1" showInputMessage="1" showErrorMessage="1" promptTitle="14. Ответ учащегося" prompt="Выберите из списка единицы измерения, которые указал учащийся в своем ответе_x000a_Если ученик не указал единицы измерения, выберите из списка N." sqref="AE21:AE26 AE28:AE59">
      <formula1>$AM$13:$AM$25</formula1>
    </dataValidation>
    <dataValidation type="list" allowBlank="1" showInputMessage="1" showErrorMessage="1" promptTitle="15. Ответ учащегося" prompt="Выберите из списка единицы измерения, которые указал учащийся в своем ответе_x000a_Если ученик не указал единицы измерения, выберите из списка N." sqref="AG21:AG26 AG28:AG59">
      <formula1>$AM$13:$AM$25</formula1>
    </dataValidation>
    <dataValidation type="list" allowBlank="1" showInputMessage="1" showErrorMessage="1" promptTitle="13. Ответ учащегося" prompt="Выберите из списка единицы измерения, которые указал учащийся в своем ответе_x000a_Если ученик не указал единицы измерения, выберите из списка N." sqref="AC21:AC26 AC28:AC59">
      <formula1>$AM$19:$AM$25</formula1>
    </dataValidation>
    <dataValidation type="list" allowBlank="1" showDropDown="1" showInputMessage="1" showErrorMessage="1" promptTitle="1. Ответ учащегося" prompt="Возможные значения: 0, 1, 2 или 3._x000a_Если ученик не дал ответа, введите N." sqref="E20:E44">
      <formula1>"0,1,2,3,N"</formula1>
    </dataValidation>
    <dataValidation allowBlank="1" showDropDown="1" showInputMessage="1" showErrorMessage="1" promptTitle="16. Ответ учащегося" prompt="Введите слово, указанное в работе учащегося._x000a_Если ученик не дал ответа, введите N." sqref="T20:T48"/>
    <dataValidation type="list" allowBlank="1" showDropDown="1" showInputMessage="1" showErrorMessage="1" promptTitle="2. Ответ учащегося" prompt="Возможные значения: 0, 1, 2 или 3._x000a_Если ученик не дал ответа, введите N." sqref="F20:F44">
      <formula1>"0,1,2,3,N"</formula1>
    </dataValidation>
    <dataValidation allowBlank="1" showDropDown="1" showInputMessage="1" showErrorMessage="1" promptTitle="3. Ответ учащегося" prompt="Введите слово, указанное в работе учащегося._x000a_Если ученик не дал ответа, введите N." sqref="G21:G48"/>
    <dataValidation allowBlank="1" showDropDown="1" showInputMessage="1" showErrorMessage="1" promptTitle="4. Ответ учащегося" prompt="Введите слово, указанное в работе учащегося._x000a_Если ученик не дал ответа, введите N." sqref="G20 H21:H48"/>
    <dataValidation allowBlank="1" showDropDown="1" showInputMessage="1" showErrorMessage="1" promptTitle="5. Ответ учащегося" prompt="Введите слово, указанное в работе учащегося._x000a_Если ученик не дал ответа, введите N." sqref="I20:I48 H20"/>
    <dataValidation allowBlank="1" showDropDown="1" showInputMessage="1" showErrorMessage="1" promptTitle="6. Ответ учащегося" prompt="Введите слово, указанное в работе учащегося._x000a_Если ученик не дал ответа, введите N." sqref="J20:J48"/>
    <dataValidation allowBlank="1" showDropDown="1" showInputMessage="1" showErrorMessage="1" promptTitle="7. Ответ учащегося" prompt="Введите слово, указанное в работе учащегося._x000a_Если ученик не дал ответа, введите N." sqref="K20:K48"/>
    <dataValidation allowBlank="1" showDropDown="1" showInputMessage="1" showErrorMessage="1" promptTitle="8. Ответ учащегося" prompt="Введите слово, указанное в работе учащегося._x000a_Если ученик не дал ответа, введите N." sqref="L20:L48"/>
    <dataValidation allowBlank="1" showDropDown="1" showInputMessage="1" showErrorMessage="1" promptTitle="9. Ответ учащегося" prompt="Введите слово, указанное в работе учащегося._x000a_Если ученик не дал ответа, введите N." sqref="M20:M48"/>
    <dataValidation allowBlank="1" showDropDown="1" showInputMessage="1" showErrorMessage="1" promptTitle="10. Ответ учащегося" prompt="Введите слово, указанное в работе учащегося._x000a_Если ученик не дал ответа, введите N." sqref="N20:N48"/>
    <dataValidation allowBlank="1" showDropDown="1" showInputMessage="1" showErrorMessage="1" promptTitle="11. Ответ учащегося" prompt="Введите слово, указанное в работе учащегося._x000a_Если ученик не дал ответа, введите N." sqref="O20:O48"/>
    <dataValidation allowBlank="1" showDropDown="1" showInputMessage="1" showErrorMessage="1" promptTitle="12. Ответ учащегося" prompt="Введите слово, указанное в работе учащегося._x000a_Если ученик не дал ответа, введите N." sqref="P20:P48"/>
    <dataValidation allowBlank="1" showDropDown="1" showInputMessage="1" showErrorMessage="1" promptTitle="13. Ответ учащегося" prompt="Введите слово, указанное в работе учащегося._x000a_Если ученик не дал ответа, введите N." sqref="Q20:Q48"/>
    <dataValidation allowBlank="1" showDropDown="1" showInputMessage="1" showErrorMessage="1" promptTitle="14. Ответ учащегося" prompt="Введите слово, указанное в работе учащегося._x000a_Если ученик не дал ответа, введите N." sqref="R20:R48"/>
    <dataValidation allowBlank="1" showDropDown="1" showInputMessage="1" showErrorMessage="1" promptTitle="15. Ответ учащегося" prompt="Введите слово, указанное в работе учащегося._x000a_Если ученик не дал ответа, введите N." sqref="S20:S48"/>
    <dataValidation allowBlank="1" showDropDown="1" showInputMessage="1" showErrorMessage="1" promptTitle="17. Ответ учащегося" prompt="Введите слово, указанное в работе учащегося._x000a_Если ученик не дал ответа, введите N." sqref="U20:U48"/>
    <dataValidation allowBlank="1" showDropDown="1" showInputMessage="1" showErrorMessage="1" promptTitle="18. Ответ учащегося" prompt="Введите слово, указанное в работе учащегося._x000a_Если ученик не дал ответа, введите N." sqref="V20:V48"/>
    <dataValidation allowBlank="1" showDropDown="1" showInputMessage="1" showErrorMessage="1" promptTitle="19. Ответ учащегося" prompt="Введите слово, указанное в работе учащегося._x000a_Если ученик не дал ответа, введите N." sqref="W20:W48"/>
    <dataValidation allowBlank="1" showDropDown="1" showInputMessage="1" showErrorMessage="1" promptTitle="20. Ответ учащегося" prompt="Введите слово, указанное в работе учащегося._x000a_Если ученик не дал ответа, введите N." sqref="X20:X48"/>
    <dataValidation allowBlank="1" showDropDown="1" showInputMessage="1" showErrorMessage="1" promptTitle="21. Ответ учащегося" prompt="Введите слово, указанное в работе учащегося._x000a_Если ученик не дал ответа, введите N." sqref="Y20:Y48"/>
    <dataValidation allowBlank="1" showDropDown="1" showInputMessage="1" showErrorMessage="1" promptTitle="22. Ответ учащегося" prompt="Введите слово, указанное в работе учащегося._x000a_Если ученик не дал ответа, введите N." sqref="Z20:Z48"/>
    <dataValidation type="list" allowBlank="1" showInputMessage="1" showErrorMessage="1" promptTitle="23. Ответ учащегося" prompt="Введите число, обозначающее количество баллов, выставленных за критерий К1._x000a_Если ученик не дал ответа, введите N." sqref="AB20:AL20 AL21:AL25">
      <formula1>$AM$13:$AM$15</formula1>
    </dataValidation>
    <dataValidation type="list" allowBlank="1" showInputMessage="1" showErrorMessage="1" promptTitle="23. Ответ учащегося" prompt="Введите число, обозначающее количество баллов, выставленных за критерий К1._x000a_Если ученик не дал ответа, введите N." sqref="AL49:AL59 AL26">
      <formula1>$AM$13:$AM$14</formula1>
    </dataValidation>
    <dataValidation type="list" allowBlank="1" showInputMessage="1" showErrorMessage="1" promptTitle="23. Ответ учащегося" prompt="Введите число, обозначающее количество баллов, выставленных за критерий К1._x000a_Если ученик не дал ответа, введите N." sqref="AA20:AA59 AB27:AL27 AL28:AL48">
      <formula1>$AM$13:$AM$16</formula1>
    </dataValidation>
  </dataValidations>
  <pageMargins left="0.17" right="0.19" top="0.48583333333333334" bottom="0.17" header="0.17" footer="0.5"/>
  <pageSetup paperSize="9" scale="90" fitToWidth="0" fitToHeight="0" orientation="landscape" r:id="rId2"/>
  <headerFooter alignWithMargins="0">
    <oddHeader>&amp;CКГБУ "Региональный центр оценки качества образования"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3">
    <tabColor rgb="FFFFFF00"/>
  </sheetPr>
  <dimension ref="A1:CI162"/>
  <sheetViews>
    <sheetView topLeftCell="I1" zoomScale="87" zoomScaleNormal="87" zoomScalePageLayoutView="90" workbookViewId="0">
      <selection activeCell="AJ7" sqref="AJ7"/>
    </sheetView>
  </sheetViews>
  <sheetFormatPr defaultRowHeight="12.75"/>
  <cols>
    <col min="1" max="1" width="9.85546875" style="1" hidden="1" customWidth="1"/>
    <col min="2" max="2" width="4" style="1" customWidth="1"/>
    <col min="3" max="3" width="4.28515625" style="1" bestFit="1" customWidth="1"/>
    <col min="4" max="4" width="30.140625" style="1" customWidth="1"/>
    <col min="5" max="5" width="4" style="1" customWidth="1"/>
    <col min="6" max="7" width="5.42578125" style="1" customWidth="1"/>
    <col min="8" max="8" width="5.5703125" style="1" customWidth="1"/>
    <col min="9" max="27" width="5.42578125" style="1" customWidth="1"/>
    <col min="28" max="28" width="12.85546875" style="1" customWidth="1"/>
    <col min="29" max="29" width="6.5703125" style="1" hidden="1" customWidth="1"/>
    <col min="30" max="30" width="6.85546875" style="1" hidden="1" customWidth="1"/>
    <col min="31" max="31" width="6.28515625" style="1" hidden="1" customWidth="1"/>
    <col min="32" max="32" width="7" style="1" hidden="1" customWidth="1"/>
    <col min="33" max="33" width="6.7109375" style="1" hidden="1" customWidth="1"/>
    <col min="34" max="34" width="5.42578125" style="1" hidden="1" customWidth="1"/>
    <col min="35" max="35" width="6.5703125" style="1" customWidth="1"/>
    <col min="36" max="36" width="8.5703125" style="1" customWidth="1"/>
    <col min="37" max="37" width="10.7109375" style="1" customWidth="1"/>
    <col min="38" max="38" width="12.42578125" style="1" customWidth="1"/>
    <col min="39" max="39" width="14.85546875" style="1" customWidth="1"/>
    <col min="40" max="40" width="16.140625" style="1" customWidth="1"/>
    <col min="41" max="41" width="19" style="1" customWidth="1"/>
    <col min="42" max="45" width="9.140625" style="1" hidden="1" customWidth="1"/>
    <col min="46" max="46" width="6.28515625" style="1" hidden="1" customWidth="1"/>
    <col min="47" max="47" width="5.140625" style="1" hidden="1" customWidth="1"/>
    <col min="48" max="51" width="6.42578125" style="1" hidden="1" customWidth="1"/>
    <col min="52" max="57" width="5.140625" style="1" hidden="1" customWidth="1"/>
    <col min="58" max="61" width="4.42578125" style="1" hidden="1" customWidth="1"/>
    <col min="62" max="65" width="9.140625" style="1" customWidth="1"/>
    <col min="66" max="16384" width="9.140625" style="1"/>
  </cols>
  <sheetData>
    <row r="1" spans="1:87" ht="17.25" customHeight="1">
      <c r="B1" s="102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</row>
    <row r="2" spans="1:87" ht="30.75" customHeight="1">
      <c r="B2" s="102"/>
      <c r="C2" s="87"/>
      <c r="D2" s="88"/>
      <c r="E2" s="564" t="s">
        <v>0</v>
      </c>
      <c r="F2" s="564"/>
      <c r="G2" s="564"/>
      <c r="H2" s="565"/>
      <c r="I2" s="560" t="str">
        <f>IF(NOT(ISBLANK('СПИСОК КЛАССА'!H1)),'СПИСОК КЛАССА'!H1,"")</f>
        <v>137022</v>
      </c>
      <c r="J2" s="561"/>
      <c r="K2" s="562"/>
      <c r="L2" s="563" t="s">
        <v>1</v>
      </c>
      <c r="M2" s="564"/>
      <c r="N2" s="565"/>
      <c r="O2" s="566" t="str">
        <f>IF(NOT(ISBLANK('СПИСОК КЛАССА'!J1)),'СПИСОК КЛАССА'!J1,"")</f>
        <v>0501</v>
      </c>
      <c r="P2" s="566"/>
      <c r="Q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7"/>
      <c r="AK2" s="87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</row>
    <row r="3" spans="1:87">
      <c r="B3" s="102"/>
      <c r="C3" s="87"/>
      <c r="D3" s="90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</row>
    <row r="4" spans="1:87" s="3" customFormat="1" ht="30.75" customHeight="1" thickBot="1">
      <c r="B4" s="93"/>
      <c r="C4" s="569" t="s">
        <v>132</v>
      </c>
      <c r="D4" s="569"/>
      <c r="E4" s="569"/>
      <c r="F4" s="569"/>
      <c r="G4" s="570" t="str">
        <f>IF(NOT(ISBLANK('СПИСОК КЛАССА'!E3)),'СПИСОК КЛАССА'!E3,"")</f>
        <v>МУНИЦИПАЛЬНОЕ ОБЩЕОБРАЗОВАТЕЛЬНОЕ УЧРЕЖДЕНИЕ СРЕДНЯЯ ОБЩЕОБРАЗОВАТЕЛЬНАЯ ШКОЛА № 27</v>
      </c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89"/>
      <c r="AG4" s="89"/>
      <c r="AH4" s="89"/>
      <c r="AI4" s="101"/>
      <c r="AJ4" s="93"/>
      <c r="AK4" s="93"/>
      <c r="AL4" s="237"/>
      <c r="AM4" s="237"/>
      <c r="AN4" s="237"/>
      <c r="AO4" s="23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</row>
    <row r="5" spans="1:87" ht="13.5" thickBot="1">
      <c r="B5" s="102"/>
      <c r="C5" s="87"/>
      <c r="D5" s="94"/>
      <c r="E5" s="92"/>
      <c r="F5" s="92"/>
      <c r="G5" s="87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238"/>
      <c r="AM5" s="238"/>
      <c r="AN5" s="238"/>
      <c r="AO5" s="238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</row>
    <row r="6" spans="1:87" ht="17.25" customHeight="1" thickBot="1">
      <c r="B6" s="422"/>
      <c r="C6" s="393"/>
      <c r="D6" s="400" t="s">
        <v>129</v>
      </c>
      <c r="E6" s="400"/>
      <c r="F6" s="401">
        <f>'Ответы учащихся'!E7</f>
        <v>29</v>
      </c>
      <c r="G6" s="393"/>
      <c r="H6" s="236"/>
      <c r="I6" s="393"/>
      <c r="J6" s="400" t="s">
        <v>12</v>
      </c>
      <c r="K6" s="568" t="str">
        <f>'Ответы учащихся'!J6</f>
        <v>24 сентября</v>
      </c>
      <c r="L6" s="568"/>
      <c r="M6" s="568"/>
      <c r="N6" s="568"/>
      <c r="O6" s="396"/>
      <c r="P6" s="402"/>
      <c r="Q6" s="395"/>
      <c r="R6" s="396"/>
      <c r="S6" s="402"/>
      <c r="T6" s="395"/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395"/>
      <c r="AF6" s="395"/>
      <c r="AG6" s="395"/>
      <c r="AH6" s="395"/>
      <c r="AI6" s="423" t="s">
        <v>13</v>
      </c>
      <c r="AJ6" s="424" t="s">
        <v>429</v>
      </c>
      <c r="AK6" s="236"/>
      <c r="AL6" s="596" t="str">
        <f>IF($AJ$6="ДА","ВНИМАНИЕ! Проверьте правильность заполнения всех форм!","")</f>
        <v>ВНИМАНИЕ! Проверьте правильность заполнения всех форм!</v>
      </c>
      <c r="AM6" s="596"/>
      <c r="AN6" s="596"/>
      <c r="AO6" s="59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>
      <c r="B7" s="422"/>
      <c r="C7" s="393"/>
      <c r="D7" s="42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395"/>
      <c r="AB7" s="395"/>
      <c r="AC7" s="395"/>
      <c r="AD7" s="395"/>
      <c r="AE7" s="395"/>
      <c r="AF7" s="395"/>
      <c r="AG7" s="395"/>
      <c r="AH7" s="395"/>
      <c r="AI7" s="395"/>
      <c r="AJ7" s="395"/>
      <c r="AK7" s="395"/>
      <c r="AL7" s="597" t="str">
        <f>IF($AJ$6="ДА","Не заполнено полей в СПИСКЕ КЛАССА","")</f>
        <v>Не заполнено полей в СПИСКЕ КЛАССА</v>
      </c>
      <c r="AM7" s="597"/>
      <c r="AN7" s="597"/>
      <c r="AO7" s="239">
        <f>IF($AJ$6="ДА",'СПИСОК КЛАССА'!S19,"")</f>
        <v>0</v>
      </c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</row>
    <row r="8" spans="1:87" ht="16.5" thickBot="1">
      <c r="B8" s="426"/>
      <c r="C8" s="567" t="s">
        <v>223</v>
      </c>
      <c r="D8" s="540"/>
      <c r="E8" s="540"/>
      <c r="F8" s="540"/>
      <c r="G8" s="540"/>
      <c r="H8" s="540"/>
      <c r="I8" s="540"/>
      <c r="J8" s="540"/>
      <c r="K8" s="540"/>
      <c r="L8" s="540"/>
      <c r="M8" s="540"/>
      <c r="N8" s="540"/>
      <c r="O8" s="540"/>
      <c r="P8" s="540"/>
      <c r="Q8" s="540"/>
      <c r="R8" s="540"/>
      <c r="S8" s="540"/>
      <c r="T8" s="540"/>
      <c r="U8" s="540"/>
      <c r="V8" s="540"/>
      <c r="W8" s="540"/>
      <c r="X8" s="540"/>
      <c r="Y8" s="540"/>
      <c r="Z8" s="540"/>
      <c r="AA8" s="540"/>
      <c r="AB8" s="540"/>
      <c r="AC8" s="540"/>
      <c r="AD8" s="540"/>
      <c r="AE8" s="540"/>
      <c r="AF8" s="540"/>
      <c r="AG8" s="540"/>
      <c r="AH8" s="540"/>
      <c r="AI8" s="540"/>
      <c r="AJ8" s="540"/>
      <c r="AK8" s="540"/>
      <c r="AL8" s="597" t="str">
        <f>IF($AJ$6="ДА","Не заполнено полей в ОТВЕТАХ УЧАЩИХСЯ","")</f>
        <v>Не заполнено полей в ОТВЕТАХ УЧАЩИХСЯ</v>
      </c>
      <c r="AM8" s="597"/>
      <c r="AN8" s="597"/>
      <c r="AO8" s="239">
        <f>IF($AJ$6="ДА",'Ответы учащихся'!AT19,"")</f>
        <v>0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</row>
    <row r="9" spans="1:87" ht="35.25" customHeight="1" thickBot="1">
      <c r="A9" s="10"/>
      <c r="B9" s="571" t="s">
        <v>2</v>
      </c>
      <c r="C9" s="574" t="s">
        <v>14</v>
      </c>
      <c r="D9" s="582" t="s">
        <v>3</v>
      </c>
      <c r="E9" s="585" t="s">
        <v>139</v>
      </c>
      <c r="F9" s="593" t="s">
        <v>140</v>
      </c>
      <c r="G9" s="594"/>
      <c r="H9" s="594"/>
      <c r="I9" s="594"/>
      <c r="J9" s="594"/>
      <c r="K9" s="594"/>
      <c r="L9" s="594"/>
      <c r="M9" s="594"/>
      <c r="N9" s="594"/>
      <c r="O9" s="594"/>
      <c r="P9" s="594"/>
      <c r="Q9" s="594"/>
      <c r="R9" s="594"/>
      <c r="S9" s="594"/>
      <c r="T9" s="594"/>
      <c r="U9" s="594"/>
      <c r="V9" s="594"/>
      <c r="W9" s="594"/>
      <c r="X9" s="594"/>
      <c r="Y9" s="594"/>
      <c r="Z9" s="594"/>
      <c r="AA9" s="594"/>
      <c r="AB9" s="595"/>
      <c r="AC9" s="251"/>
      <c r="AD9" s="251"/>
      <c r="AE9" s="251"/>
      <c r="AF9" s="251"/>
      <c r="AG9" s="251"/>
      <c r="AH9" s="252"/>
      <c r="AI9" s="579" t="s">
        <v>16</v>
      </c>
      <c r="AJ9" s="576" t="s">
        <v>17</v>
      </c>
      <c r="AK9" s="598" t="s">
        <v>143</v>
      </c>
      <c r="AL9" s="598" t="s">
        <v>128</v>
      </c>
      <c r="AM9" s="601" t="s">
        <v>113</v>
      </c>
      <c r="AN9" s="598" t="s">
        <v>127</v>
      </c>
      <c r="AO9" s="598" t="s">
        <v>95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</row>
    <row r="10" spans="1:87" ht="68.25" customHeight="1">
      <c r="A10" s="11"/>
      <c r="B10" s="572"/>
      <c r="C10" s="549"/>
      <c r="D10" s="583"/>
      <c r="E10" s="586"/>
      <c r="F10" s="588" t="s">
        <v>193</v>
      </c>
      <c r="G10" s="589"/>
      <c r="H10" s="590" t="s">
        <v>194</v>
      </c>
      <c r="I10" s="591"/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1"/>
      <c r="W10" s="591"/>
      <c r="X10" s="591"/>
      <c r="Y10" s="591"/>
      <c r="Z10" s="591"/>
      <c r="AA10" s="592"/>
      <c r="AB10" s="447" t="s">
        <v>195</v>
      </c>
      <c r="AC10" s="252"/>
      <c r="AD10" s="251"/>
      <c r="AE10" s="251"/>
      <c r="AF10" s="251"/>
      <c r="AG10" s="251"/>
      <c r="AH10" s="252"/>
      <c r="AI10" s="580"/>
      <c r="AJ10" s="577"/>
      <c r="AK10" s="599"/>
      <c r="AL10" s="599"/>
      <c r="AM10" s="602"/>
      <c r="AN10" s="599"/>
      <c r="AO10" s="599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</row>
    <row r="11" spans="1:87" ht="24.75" customHeight="1" thickBot="1">
      <c r="A11" s="11"/>
      <c r="B11" s="573"/>
      <c r="C11" s="575"/>
      <c r="D11" s="584"/>
      <c r="E11" s="587"/>
      <c r="F11" s="445">
        <v>1</v>
      </c>
      <c r="G11" s="446">
        <v>2</v>
      </c>
      <c r="H11" s="454">
        <v>1</v>
      </c>
      <c r="I11" s="455">
        <v>2</v>
      </c>
      <c r="J11" s="455">
        <v>3</v>
      </c>
      <c r="K11" s="455">
        <v>4</v>
      </c>
      <c r="L11" s="455">
        <v>5</v>
      </c>
      <c r="M11" s="455">
        <v>6</v>
      </c>
      <c r="N11" s="455">
        <v>7</v>
      </c>
      <c r="O11" s="455">
        <v>8</v>
      </c>
      <c r="P11" s="455">
        <v>9</v>
      </c>
      <c r="Q11" s="455">
        <v>10</v>
      </c>
      <c r="R11" s="455">
        <v>11</v>
      </c>
      <c r="S11" s="455">
        <v>12</v>
      </c>
      <c r="T11" s="455">
        <v>13</v>
      </c>
      <c r="U11" s="455">
        <v>14</v>
      </c>
      <c r="V11" s="455">
        <v>15</v>
      </c>
      <c r="W11" s="455">
        <v>16</v>
      </c>
      <c r="X11" s="455">
        <v>17</v>
      </c>
      <c r="Y11" s="455">
        <v>18</v>
      </c>
      <c r="Z11" s="455">
        <v>19</v>
      </c>
      <c r="AA11" s="456">
        <v>20</v>
      </c>
      <c r="AB11" s="448">
        <v>1</v>
      </c>
      <c r="AC11" s="309"/>
      <c r="AD11" s="249"/>
      <c r="AE11" s="249">
        <v>18</v>
      </c>
      <c r="AF11" s="249"/>
      <c r="AG11" s="249"/>
      <c r="AH11" s="250">
        <v>19</v>
      </c>
      <c r="AI11" s="581"/>
      <c r="AJ11" s="578"/>
      <c r="AK11" s="600"/>
      <c r="AL11" s="600"/>
      <c r="AM11" s="602"/>
      <c r="AN11" s="600"/>
      <c r="AO11" s="600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</row>
    <row r="12" spans="1:87" ht="24.75" hidden="1" customHeight="1">
      <c r="A12" s="11"/>
      <c r="B12" s="375"/>
      <c r="C12" s="372"/>
      <c r="D12" s="373"/>
      <c r="E12" s="291"/>
      <c r="F12" s="297"/>
      <c r="G12" s="298"/>
      <c r="H12" s="295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306"/>
      <c r="AB12" s="449"/>
      <c r="AC12" s="257"/>
      <c r="AD12" s="235"/>
      <c r="AE12" s="235"/>
      <c r="AF12" s="235"/>
      <c r="AG12" s="235"/>
      <c r="AH12" s="240"/>
      <c r="AI12" s="245"/>
      <c r="AJ12" s="234"/>
      <c r="AK12" s="231"/>
      <c r="AL12" s="231"/>
      <c r="AM12" s="231"/>
      <c r="AN12" s="231"/>
      <c r="AO12" s="24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</row>
    <row r="13" spans="1:87" ht="24.75" hidden="1" customHeight="1">
      <c r="A13" s="11"/>
      <c r="B13" s="231"/>
      <c r="C13" s="232"/>
      <c r="D13" s="256"/>
      <c r="E13" s="292"/>
      <c r="F13" s="299"/>
      <c r="G13" s="300"/>
      <c r="H13" s="258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41"/>
      <c r="AB13" s="450"/>
      <c r="AC13" s="258"/>
      <c r="AD13" s="233"/>
      <c r="AE13" s="233"/>
      <c r="AF13" s="233"/>
      <c r="AG13" s="233"/>
      <c r="AH13" s="241"/>
      <c r="AI13" s="245"/>
      <c r="AJ13" s="234"/>
      <c r="AK13" s="231"/>
      <c r="AL13" s="231"/>
      <c r="AM13" s="231"/>
      <c r="AN13" s="231"/>
      <c r="AO13" s="24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</row>
    <row r="14" spans="1:87" ht="24.75" hidden="1" customHeight="1">
      <c r="A14" s="11"/>
      <c r="B14" s="231"/>
      <c r="C14" s="232"/>
      <c r="D14" s="256"/>
      <c r="E14" s="292"/>
      <c r="F14" s="299"/>
      <c r="G14" s="300"/>
      <c r="H14" s="258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41"/>
      <c r="AB14" s="450"/>
      <c r="AC14" s="258"/>
      <c r="AD14" s="233"/>
      <c r="AE14" s="233"/>
      <c r="AF14" s="233"/>
      <c r="AG14" s="233"/>
      <c r="AH14" s="241"/>
      <c r="AI14" s="245"/>
      <c r="AJ14" s="234"/>
      <c r="AK14" s="231"/>
      <c r="AL14" s="231"/>
      <c r="AM14" s="231"/>
      <c r="AN14" s="231"/>
      <c r="AO14" s="24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</row>
    <row r="15" spans="1:87" ht="24.75" hidden="1" customHeight="1">
      <c r="A15" s="11"/>
      <c r="B15" s="225"/>
      <c r="C15" s="226"/>
      <c r="D15" s="227"/>
      <c r="E15" s="293">
        <v>3</v>
      </c>
      <c r="F15" s="301"/>
      <c r="G15" s="302"/>
      <c r="H15" s="296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307"/>
      <c r="AB15" s="451">
        <f t="shared" ref="AB15:AH15" si="0">COUNTIF(AB20:AB59,"3")</f>
        <v>8</v>
      </c>
      <c r="AC15" s="259"/>
      <c r="AD15" s="192"/>
      <c r="AE15" s="192"/>
      <c r="AF15" s="192"/>
      <c r="AG15" s="192"/>
      <c r="AH15" s="242">
        <f t="shared" si="0"/>
        <v>0</v>
      </c>
      <c r="AI15" s="247"/>
      <c r="AJ15" s="228"/>
      <c r="AK15" s="229"/>
      <c r="AL15" s="229"/>
      <c r="AM15" s="229"/>
      <c r="AN15" s="229"/>
      <c r="AO15" s="230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</row>
    <row r="16" spans="1:87" ht="24.75" hidden="1" customHeight="1">
      <c r="A16" s="11"/>
      <c r="B16" s="165"/>
      <c r="C16" s="166"/>
      <c r="D16" s="167"/>
      <c r="E16" s="293">
        <v>2</v>
      </c>
      <c r="F16" s="301"/>
      <c r="G16" s="302"/>
      <c r="H16" s="296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307"/>
      <c r="AB16" s="452">
        <f t="shared" ref="AB16:AH16" si="1">COUNTIF(AB20:AB59,"2")</f>
        <v>13</v>
      </c>
      <c r="AC16" s="260"/>
      <c r="AD16" s="191"/>
      <c r="AE16" s="191"/>
      <c r="AF16" s="191"/>
      <c r="AG16" s="191"/>
      <c r="AH16" s="243">
        <f t="shared" si="1"/>
        <v>0</v>
      </c>
      <c r="AI16" s="248"/>
      <c r="AJ16" s="169"/>
      <c r="AK16" s="170"/>
      <c r="AL16" s="170"/>
      <c r="AM16" s="170"/>
      <c r="AN16" s="170"/>
      <c r="AO16" s="171">
        <f>COUNTIF(AO20:AO59,"ВЫСОКИЙ")</f>
        <v>6</v>
      </c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</row>
    <row r="17" spans="1:67" ht="24.75" hidden="1" customHeight="1">
      <c r="A17" s="11"/>
      <c r="B17" s="165"/>
      <c r="C17" s="166"/>
      <c r="D17" s="167"/>
      <c r="E17" s="293">
        <v>1</v>
      </c>
      <c r="F17" s="301">
        <f>COUNTIF(F20:F59,"1")</f>
        <v>26</v>
      </c>
      <c r="G17" s="302">
        <f t="shared" ref="G17:AH17" si="2">COUNTIF(G20:G59,"1")</f>
        <v>24</v>
      </c>
      <c r="H17" s="296">
        <f t="shared" si="2"/>
        <v>28</v>
      </c>
      <c r="I17" s="168">
        <f t="shared" si="2"/>
        <v>25</v>
      </c>
      <c r="J17" s="168">
        <f t="shared" si="2"/>
        <v>20</v>
      </c>
      <c r="K17" s="168">
        <f t="shared" si="2"/>
        <v>22</v>
      </c>
      <c r="L17" s="168">
        <f t="shared" si="2"/>
        <v>22</v>
      </c>
      <c r="M17" s="168">
        <f t="shared" si="2"/>
        <v>15</v>
      </c>
      <c r="N17" s="168">
        <f t="shared" si="2"/>
        <v>15</v>
      </c>
      <c r="O17" s="168">
        <f t="shared" si="2"/>
        <v>18</v>
      </c>
      <c r="P17" s="168">
        <f t="shared" si="2"/>
        <v>17</v>
      </c>
      <c r="Q17" s="168">
        <f t="shared" si="2"/>
        <v>15</v>
      </c>
      <c r="R17" s="168">
        <f t="shared" si="2"/>
        <v>23</v>
      </c>
      <c r="S17" s="168">
        <f t="shared" si="2"/>
        <v>17</v>
      </c>
      <c r="T17" s="168">
        <f t="shared" si="2"/>
        <v>23</v>
      </c>
      <c r="U17" s="168">
        <f t="shared" si="2"/>
        <v>23</v>
      </c>
      <c r="V17" s="168">
        <f t="shared" si="2"/>
        <v>17</v>
      </c>
      <c r="W17" s="168">
        <f t="shared" si="2"/>
        <v>18</v>
      </c>
      <c r="X17" s="168">
        <f t="shared" si="2"/>
        <v>12</v>
      </c>
      <c r="Y17" s="168">
        <f t="shared" si="2"/>
        <v>22</v>
      </c>
      <c r="Z17" s="168">
        <f t="shared" si="2"/>
        <v>23</v>
      </c>
      <c r="AA17" s="307">
        <f t="shared" si="2"/>
        <v>16</v>
      </c>
      <c r="AB17" s="452">
        <f t="shared" si="2"/>
        <v>4</v>
      </c>
      <c r="AC17" s="260"/>
      <c r="AD17" s="191"/>
      <c r="AE17" s="191"/>
      <c r="AF17" s="191"/>
      <c r="AG17" s="191"/>
      <c r="AH17" s="243">
        <f t="shared" si="2"/>
        <v>4</v>
      </c>
      <c r="AI17" s="248"/>
      <c r="AJ17" s="169"/>
      <c r="AK17" s="170"/>
      <c r="AL17" s="170"/>
      <c r="AM17" s="170"/>
      <c r="AN17" s="170"/>
      <c r="AO17" s="171">
        <f>COUNTIF(AO20:AO59,"ПОВЫШЕННЫЙ")</f>
        <v>10</v>
      </c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</row>
    <row r="18" spans="1:67" ht="24.75" hidden="1" customHeight="1">
      <c r="A18" s="11"/>
      <c r="B18" s="165"/>
      <c r="C18" s="166"/>
      <c r="D18" s="167"/>
      <c r="E18" s="293">
        <v>0</v>
      </c>
      <c r="F18" s="301">
        <f>COUNTIF(F20:F59,"0")</f>
        <v>3</v>
      </c>
      <c r="G18" s="302">
        <f t="shared" ref="G18:AH18" si="3">COUNTIF(G20:G59,"0")</f>
        <v>5</v>
      </c>
      <c r="H18" s="296">
        <f t="shared" si="3"/>
        <v>1</v>
      </c>
      <c r="I18" s="168">
        <f t="shared" si="3"/>
        <v>3</v>
      </c>
      <c r="J18" s="168">
        <f t="shared" si="3"/>
        <v>9</v>
      </c>
      <c r="K18" s="168">
        <f t="shared" si="3"/>
        <v>7</v>
      </c>
      <c r="L18" s="168">
        <f t="shared" si="3"/>
        <v>7</v>
      </c>
      <c r="M18" s="168">
        <f t="shared" si="3"/>
        <v>14</v>
      </c>
      <c r="N18" s="168">
        <f t="shared" si="3"/>
        <v>13</v>
      </c>
      <c r="O18" s="168">
        <f t="shared" si="3"/>
        <v>9</v>
      </c>
      <c r="P18" s="168">
        <f t="shared" si="3"/>
        <v>11</v>
      </c>
      <c r="Q18" s="168">
        <f t="shared" si="3"/>
        <v>14</v>
      </c>
      <c r="R18" s="168">
        <f t="shared" si="3"/>
        <v>6</v>
      </c>
      <c r="S18" s="168">
        <f t="shared" si="3"/>
        <v>9</v>
      </c>
      <c r="T18" s="168">
        <f t="shared" si="3"/>
        <v>6</v>
      </c>
      <c r="U18" s="168">
        <f t="shared" si="3"/>
        <v>6</v>
      </c>
      <c r="V18" s="168">
        <f t="shared" si="3"/>
        <v>10</v>
      </c>
      <c r="W18" s="168">
        <f t="shared" si="3"/>
        <v>8</v>
      </c>
      <c r="X18" s="168">
        <f t="shared" si="3"/>
        <v>14</v>
      </c>
      <c r="Y18" s="168">
        <f t="shared" si="3"/>
        <v>6</v>
      </c>
      <c r="Z18" s="168">
        <f t="shared" si="3"/>
        <v>5</v>
      </c>
      <c r="AA18" s="307">
        <f t="shared" si="3"/>
        <v>10</v>
      </c>
      <c r="AB18" s="452">
        <f t="shared" si="3"/>
        <v>4</v>
      </c>
      <c r="AC18" s="260"/>
      <c r="AD18" s="191"/>
      <c r="AE18" s="191"/>
      <c r="AF18" s="191"/>
      <c r="AG18" s="191"/>
      <c r="AH18" s="243">
        <f t="shared" si="3"/>
        <v>25</v>
      </c>
      <c r="AI18" s="248">
        <f>AI19/'Ответы учащихся'!E7</f>
        <v>17.068965517241381</v>
      </c>
      <c r="AJ18" s="169"/>
      <c r="AK18" s="170"/>
      <c r="AL18" s="170"/>
      <c r="AM18" s="170"/>
      <c r="AN18" s="170"/>
      <c r="AO18" s="171">
        <f>COUNTIF(AO20:AO59,"БАЗОВЫЙ")</f>
        <v>9</v>
      </c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</row>
    <row r="19" spans="1:67" ht="32.25" hidden="1" customHeight="1" thickBot="1">
      <c r="A19" s="11">
        <f>SUM(A20:A59)</f>
        <v>29</v>
      </c>
      <c r="B19" s="172" t="s">
        <v>2</v>
      </c>
      <c r="C19" s="173" t="s">
        <v>21</v>
      </c>
      <c r="D19" s="174" t="s">
        <v>20</v>
      </c>
      <c r="E19" s="294" t="s">
        <v>131</v>
      </c>
      <c r="F19" s="471">
        <f>COUNTIF(F20:F59,"N")</f>
        <v>0</v>
      </c>
      <c r="G19" s="472">
        <f t="shared" ref="G19:AH19" si="4">COUNTIF(G20:G59,"N")</f>
        <v>0</v>
      </c>
      <c r="H19" s="473">
        <f t="shared" si="4"/>
        <v>0</v>
      </c>
      <c r="I19" s="474">
        <f t="shared" si="4"/>
        <v>1</v>
      </c>
      <c r="J19" s="474">
        <f t="shared" si="4"/>
        <v>0</v>
      </c>
      <c r="K19" s="474">
        <f t="shared" si="4"/>
        <v>0</v>
      </c>
      <c r="L19" s="474">
        <f t="shared" si="4"/>
        <v>0</v>
      </c>
      <c r="M19" s="474">
        <f t="shared" si="4"/>
        <v>0</v>
      </c>
      <c r="N19" s="474">
        <f t="shared" si="4"/>
        <v>1</v>
      </c>
      <c r="O19" s="474">
        <f t="shared" si="4"/>
        <v>2</v>
      </c>
      <c r="P19" s="474">
        <f t="shared" si="4"/>
        <v>1</v>
      </c>
      <c r="Q19" s="474">
        <f t="shared" si="4"/>
        <v>0</v>
      </c>
      <c r="R19" s="474">
        <f t="shared" si="4"/>
        <v>0</v>
      </c>
      <c r="S19" s="474">
        <f t="shared" si="4"/>
        <v>3</v>
      </c>
      <c r="T19" s="474">
        <f t="shared" si="4"/>
        <v>0</v>
      </c>
      <c r="U19" s="474">
        <f t="shared" si="4"/>
        <v>0</v>
      </c>
      <c r="V19" s="474">
        <f t="shared" si="4"/>
        <v>2</v>
      </c>
      <c r="W19" s="474">
        <f t="shared" si="4"/>
        <v>3</v>
      </c>
      <c r="X19" s="474">
        <f t="shared" si="4"/>
        <v>3</v>
      </c>
      <c r="Y19" s="474">
        <f t="shared" si="4"/>
        <v>1</v>
      </c>
      <c r="Z19" s="474">
        <f t="shared" si="4"/>
        <v>1</v>
      </c>
      <c r="AA19" s="475">
        <f t="shared" si="4"/>
        <v>3</v>
      </c>
      <c r="AB19" s="476">
        <f t="shared" si="4"/>
        <v>0</v>
      </c>
      <c r="AC19" s="273">
        <f>SUM(AC20:AC59)</f>
        <v>4</v>
      </c>
      <c r="AD19" s="273">
        <f>SUM(AD20:AD59)</f>
        <v>13</v>
      </c>
      <c r="AE19" s="273">
        <f>SUM(AE20:AE59)</f>
        <v>8</v>
      </c>
      <c r="AF19" s="273">
        <f>SUM(AF20:AF59)</f>
        <v>4</v>
      </c>
      <c r="AG19" s="273">
        <f>SUM(AG20:AG59)</f>
        <v>0</v>
      </c>
      <c r="AH19" s="244">
        <f t="shared" si="4"/>
        <v>0</v>
      </c>
      <c r="AI19" s="457">
        <f>SUM(AI20:AI59)</f>
        <v>495</v>
      </c>
      <c r="AJ19" s="458">
        <f>IF(AND(OR($C19&lt;&gt;"",$D19&lt;&gt;""),$A19&lt;&gt;"",$AJ$6="ДА"),AI19/25/'Ответы учащихся'!E7,"")</f>
        <v>0.6827586206896552</v>
      </c>
      <c r="AK19" s="353">
        <f>SUM(AK20:AK59)</f>
        <v>223</v>
      </c>
      <c r="AL19" s="459">
        <f>AK19/11/'Ответы учащихся'!E7*100</f>
        <v>69.905956112852664</v>
      </c>
      <c r="AM19" s="353">
        <f>SUM(AM20:AM59)</f>
        <v>272</v>
      </c>
      <c r="AN19" s="459">
        <f>AM19/14/'Ответы учащихся'!E7*100</f>
        <v>66.995073891625609</v>
      </c>
      <c r="AO19" s="171">
        <f>COUNTIF(AO20:AO59,"НИЗКИЙ")</f>
        <v>4</v>
      </c>
      <c r="AP19" s="175"/>
      <c r="AQ19" s="176"/>
      <c r="AR19" s="176"/>
      <c r="AS19" s="176"/>
      <c r="AT19" s="176" t="s">
        <v>161</v>
      </c>
      <c r="AU19" s="176" t="s">
        <v>162</v>
      </c>
      <c r="AV19" s="176" t="s">
        <v>163</v>
      </c>
      <c r="AW19" s="176" t="s">
        <v>164</v>
      </c>
      <c r="AX19" s="176" t="s">
        <v>165</v>
      </c>
      <c r="AY19" s="176" t="s">
        <v>166</v>
      </c>
      <c r="AZ19" s="177" t="s">
        <v>168</v>
      </c>
      <c r="BA19" s="178" t="s">
        <v>169</v>
      </c>
      <c r="BB19" s="179" t="s">
        <v>174</v>
      </c>
      <c r="BC19" s="178" t="s">
        <v>175</v>
      </c>
      <c r="BD19" s="179" t="s">
        <v>176</v>
      </c>
      <c r="BE19" s="178" t="s">
        <v>177</v>
      </c>
      <c r="BF19" s="180">
        <v>1</v>
      </c>
      <c r="BG19" s="180">
        <v>2</v>
      </c>
      <c r="BH19" s="180">
        <v>3</v>
      </c>
      <c r="BI19" s="180">
        <v>4</v>
      </c>
      <c r="BJ19" s="6"/>
      <c r="BK19" s="6"/>
      <c r="BL19" s="6"/>
      <c r="BM19" s="6"/>
      <c r="BN19" s="6"/>
      <c r="BO19" s="6"/>
    </row>
    <row r="20" spans="1:67" ht="15" customHeight="1">
      <c r="A20" s="12">
        <f>IF('СПИСОК КЛАССА'!J20&gt;0,1,0)</f>
        <v>1</v>
      </c>
      <c r="B20" s="311">
        <v>1</v>
      </c>
      <c r="C20" s="312">
        <f>IF(NOT(ISBLANK('СПИСОК КЛАССА'!C20)),'СПИСОК КЛАССА'!C20,"")</f>
        <v>1</v>
      </c>
      <c r="D20" s="312" t="str">
        <f>IF(NOT(ISBLANK('СПИСОК КЛАССА'!D20)),IF($A20=1,'СПИСОК КЛАССА'!D20, "УЧЕНИК НЕ ВЫПОЛНЯЛ РАБОТУ"),"")</f>
        <v>АНИКЕЕВА АНАСТАСИЯ</v>
      </c>
      <c r="E20" s="287">
        <f>IF($C20&lt;&gt;"",'СПИСОК КЛАССА'!J20,"")</f>
        <v>1</v>
      </c>
      <c r="F20" s="439">
        <f>IF(AND(OR($C20&lt;&gt;"",$D20&lt;&gt;""),$A20=1,$AJ$6="ДА"),(IF(A20=1,IF(OR(AND(E20=1,'Ответы учащихся'!E20=1),AND(E20=2,'Ответы учащихся'!E20=3)),1,IF('Ответы учащихся'!E20="N",'Ответы учащихся'!E20,0)),"")),"")</f>
        <v>1</v>
      </c>
      <c r="G20" s="440">
        <f>IF(AND(OR($C20&lt;&gt;"",$D20&lt;&gt;""),$A20=1,$AJ$6="ДА"),(IF(A20=1,IF(OR(AND(E20=1,'Ответы учащихся'!F20=2),AND(E20=2,'Ответы учащихся'!F20=3)),1,IF('Ответы учащихся'!F20="N",'Ответы учащихся'!F20,0)),"")),"")</f>
        <v>1</v>
      </c>
      <c r="H20" s="303">
        <f>IF(AND(OR($C20&lt;&gt;"",$D20&lt;&gt;""),$A20=1,$AJ$6="ДА"),IF(A20=1,IF(OR(AND(E20=1,'Ответы учащихся'!G20="GIRL"),AND(E20=2,'Ответы учащихся'!G20="YEARS")),1,IF('Ответы учащихся'!G20="N",'Ответы учащихся'!G20,0)),""),"")</f>
        <v>1</v>
      </c>
      <c r="I20" s="403">
        <f>IF(AND(OR($C20&lt;&gt;"",$D20&lt;&gt;""),$A20=1,$AJ$6="ДА"),IF(A20=1,IF(OR(AND(E20=1,'Ответы учащихся'!H20="SHOUTED"),AND(E20=2,'Ответы учащихся'!H20="HER")),1,IF('Ответы учащихся'!H20="N",'Ответы учащихся'!H20,0)),""),"")</f>
        <v>1</v>
      </c>
      <c r="J20" s="403">
        <f>IF(AND(OR($C20&lt;&gt;"",$D20&lt;&gt;""),$A20=1,$AJ$6="ДА"),IF(A20=1,IF(OR(AND(E20=1,'Ответы учащихся'!I20="ZOO"),AND(E20=2,'Ответы учащихся'!I20="HUSBAND")),1,IF('Ответы учащихся'!I20="N",'Ответы учащихся'!I20,0)),""),"")</f>
        <v>1</v>
      </c>
      <c r="K20" s="403">
        <f>IF(AND(OR($C20&lt;&gt;"",$D20&lt;&gt;""),$A20=1,$AJ$6="ДА"),IF(A20=1,IF(OR(AND(E20=1,'Ответы учащихся'!J20="AT"),AND(E20=2,'Ответы учащихся'!J20="LIVE")),1,IF('Ответы учащихся'!J20="N",'Ответы учащихся'!J20,0)),""),"")</f>
        <v>0</v>
      </c>
      <c r="L20" s="403">
        <f>IF(AND(OR($C20&lt;&gt;"",$D20&lt;&gt;""),$A20=1,$AJ$6="ДА"),IF(A20=1,IF(OR(AND(E20=1,'Ответы учащихся'!K20="SAID"),AND(E20=2,'Ответы учащихся'!K20="MUCH")),1,IF('Ответы учащихся'!K20="N",'Ответы учащихся'!K20,0)),""),"")</f>
        <v>0</v>
      </c>
      <c r="M20" s="403">
        <f>IF(AND(OR($C20&lt;&gt;"",$D20&lt;&gt;""),$A20=1,$AJ$6="ДА"),IF(A20=1,IF(OR(AND(E20=1,'Ответы учащихся'!L20="MORNING"),AND(E20=2,'Ответы учащихся'!L20="SHEEP")),1,IF('Ответы учащихся'!L20="N",'Ответы учащихся'!L20,0)),""),"")</f>
        <v>1</v>
      </c>
      <c r="N20" s="403">
        <f>IF(AND(OR($C20&lt;&gt;"",$D20&lt;&gt;""),$A20=1,$AJ$6="ДА"),IF(A20=1,IF(OR(AND(E20=1,'Ответы учащихся'!M20="MUCH"),AND(E20=2,'Ответы учащихся'!M20="SELL")),1,IF('Ответы учащихся'!M20="N",'Ответы учащихся'!M20,0)),""),"")</f>
        <v>1</v>
      </c>
      <c r="O20" s="428" t="str">
        <f>IF(AND(OR($C20&lt;&gt;"",$D20&lt;&gt;""),$A20=1,$AJ$6="ДА"),IF(A20=1,IF(OR(AND(E20=1,'Ответы учащихся'!N20="LIKE"),AND(E20=2,'Ответы учащихся'!N20="IN")),1,IF('Ответы учащихся'!N20="N",'Ответы учащихся'!N20,0)),""),"")</f>
        <v>N</v>
      </c>
      <c r="P20" s="403">
        <f>IF(AND(OR($C20&lt;&gt;"",$D20&lt;&gt;""),$A20=1,$AJ$6="ДА"),IF(A20=1,IF(OR(AND(E20=1,'Ответы учащихся'!O20="ANIMALS"),AND(E20=2,'Ответы учащихся'!O20="CLOTHES")),1,IF('Ответы учащихся'!O20="N",'Ответы учащихся'!O20,0)),""),"")</f>
        <v>0</v>
      </c>
      <c r="Q20" s="403">
        <f>IF(AND(OR($C20&lt;&gt;"",$D20&lt;&gt;""),$A20=1,$AJ$6="ДА"),IF(A20=1,IF(OR(AND(E20=1,'Ответы учащихся'!P20="WE"),AND(E20=2,'Ответы учащихся'!P20="GOES")),1,IF('Ответы учащихся'!P20="N",'Ответы учащихся'!P20,0)),""),"")</f>
        <v>0</v>
      </c>
      <c r="R20" s="403">
        <f>IF(AND(OR($C20&lt;&gt;"",$D20&lt;&gt;""),$A20=1,$AJ$6="ДА"),IF(A20=1,IF(OR(AND(E20=1,'Ответы учащихся'!Q20="ASKED"),AND(E20=2,'Ответы учащихся'!Q20="MADE")),1,IF('Ответы учащихся'!Q20="N",'Ответы учащихся'!Q20,0)),""),"")</f>
        <v>1</v>
      </c>
      <c r="S20" s="403" t="str">
        <f>IF(AND(OR($C20&lt;&gt;"",$D20&lt;&gt;""),$A20=1,$AJ$6="ДА"),IF(A20=1,IF(OR(AND(E20=1,'Ответы учащихся'!R20="LOST"),AND(E20=2,'Ответы учащихся'!R20="GOT")),1,IF('Ответы учащихся'!R20="N",'Ответы учащихся'!R20,0)),""),"")</f>
        <v>N</v>
      </c>
      <c r="T20" s="403">
        <f>IF(AND(OR($C20&lt;&gt;"",$D20&lt;&gt;""),$A20=1,$AJ$6="ДА"),IF(A20=1,IF(OR(AND(E20=1,'Ответы учащихся'!S20="GOT"),AND(E20=2,'Ответы учащихся'!S20="CAME")),1,IF('Ответы учащихся'!S20="N",'Ответы учащихся'!S20,0)),""),"")</f>
        <v>1</v>
      </c>
      <c r="U20" s="403">
        <f>IF(AND(OR($C20&lt;&gt;"",$D20&lt;&gt;""),$A20=1,$AJ$6="ДА"),IF(A20=1,IF(OR(AND(E20=1,'Ответы учащихся'!T20="SAW"),AND(E20=2,'Ответы учащихся'!T20="OPENED")),1,IF('Ответы учащихся'!T20="N",'Ответы учащихся'!T20,0)),""),"")</f>
        <v>1</v>
      </c>
      <c r="V20" s="403" t="str">
        <f>IF(AND(OR($C20&lt;&gt;"",$D20&lt;&gt;""),$A20=1,$AJ$6="ДА"),IF(A20=1,IF(OR(AND(E20=1,'Ответы учащихся'!U20="WAS"),AND(E20=2,'Ответы учащихся'!U20="TRIED")),1,IF('Ответы учащихся'!U20="N",'Ответы учащихся'!U20,0)),""),"")</f>
        <v>N</v>
      </c>
      <c r="W20" s="403" t="str">
        <f>IF(AND(OR($C20&lt;&gt;"",$D20&lt;&gt;""),$A20=1,$AJ$6="ДА"),IF(A20=1,IF(OR(AND(E20=1,'Ответы учащихся'!V20="KNEW"),AND(E20=2,'Ответы учащихся'!V20="SAW")),1,IF('Ответы учащихся'!V20="N",'Ответы учащихся'!V20,0)),""),"")</f>
        <v>N</v>
      </c>
      <c r="X20" s="403" t="str">
        <f>IF(AND(OR($C20&lt;&gt;"",$D20&lt;&gt;""),$A20=1,$AJ$6="ДА"),IF(A20=1,IF(OR(AND(E20=1,'Ответы учащихся'!W20="BROKE"),AND(E20=2,'Ответы учащихся'!W20="WENT")),1,IF('Ответы учащихся'!W20="N",'Ответы учащихся'!W20,0)),""),"")</f>
        <v>N</v>
      </c>
      <c r="Y20" s="403">
        <f>IF(AND(OR($C20&lt;&gt;"",$D20&lt;&gt;""),$A20=1,$AJ$6="ДА"),IF(A20=1,IF(OR(AND(E20=1,'Ответы учащихся'!X20="CAME"),AND(E20=2,'Ответы учащихся'!X20="BEGAN")),1,IF('Ответы учащихся'!X20="N",'Ответы учащихся'!X20,0)),""),"")</f>
        <v>1</v>
      </c>
      <c r="Z20" s="403" t="str">
        <f>IF(AND(OR($C20&lt;&gt;"",$D20&lt;&gt;""),$A20=1,$AJ$6="ДА"),IF(A20=1,IF(OR(AND(E20=1,'Ответы учащихся'!Y20="RODE"),AND(E20=2,'Ответы учащихся'!Y20="PUT")),1,IF('Ответы учащихся'!Y20="N",'Ответы учащихся'!Y20,0)),""),"")</f>
        <v>N</v>
      </c>
      <c r="AA20" s="404" t="str">
        <f>IF(AND(OR($C20&lt;&gt;"",$D20&lt;&gt;""),$A20=1,$AJ$6="ДА"),IF(A20=1,IF(OR(AND(E20=1,'Ответы учащихся'!Z20="TOOK"),AND(E20=2,'Ответы учащихся'!Z20="LEFT")),1,IF('Ответы учащихся'!Z20="N",'Ответы учащихся'!Z20,0)),""),"")</f>
        <v>N</v>
      </c>
      <c r="AB20" s="453">
        <f>IF(AND(OR($C20&lt;&gt;"",$D20&lt;&gt;""),$A20=1,$AJ$6="ДА"),IF(OR('Ответы учащихся'!AA20="N",'Ответы учащихся'!AL20="N"),"N",('Ответы учащихся'!AA20+'Ответы учащихся'!AL20)),"")</f>
        <v>2</v>
      </c>
      <c r="AC20" s="429" t="b">
        <f>IF(AB20=1,1)</f>
        <v>0</v>
      </c>
      <c r="AD20" s="430">
        <f>IF(AB20=2,1)</f>
        <v>1</v>
      </c>
      <c r="AE20" s="430" t="b">
        <f>IF(AB20=3,1)</f>
        <v>0</v>
      </c>
      <c r="AF20" s="430" t="b">
        <f>IF(AB20=0,1)</f>
        <v>0</v>
      </c>
      <c r="AG20" s="430" t="b">
        <f>IF(OR('Ответы учащихся'!AA20="N",'Ответы учащихся'!AL20="N"),1)</f>
        <v>0</v>
      </c>
      <c r="AH20" s="431">
        <f>IF(AND(OR($C20&lt;&gt;"",$D20&lt;&gt;""),$A20=1,$AJ$6="ДА"),IF(A20=1,IF('Ответы учащихся'!AK20="N",'Ответы учащихся'!AK20,AF20+AG20),""),"")</f>
        <v>0</v>
      </c>
      <c r="AI20" s="460">
        <f>IF(AND(OR($C20&lt;&gt;"",$D20&lt;&gt;""),$A20=1,$AJ$6="ДА"),(COUNTIF(F20:G20,1)+COUNTIF(H20:AA20,1)+IF(AB20&lt;&gt;"N",AB20)),"")</f>
        <v>13</v>
      </c>
      <c r="AJ20" s="432">
        <f>IF(AND(OR($C20&lt;&gt;"",$D20&lt;&gt;""),$A20=1,$AJ$6="ДА"),AI20/25,"")</f>
        <v>0.52</v>
      </c>
      <c r="AK20" s="433">
        <f>IF(AND(OR($C20&lt;&gt;"",$D20&lt;&gt;""),$A20=1,$AJ$6="ДА"),(COUNTIF(F20,1)+COUNTIF(H20:Q20,1)),"")</f>
        <v>6</v>
      </c>
      <c r="AL20" s="360">
        <f>IF(AND(OR($C20&lt;&gt;"",$D20&lt;&gt;""),$A20=1,$AJ$6="ДА"),AK20/11*100,"")</f>
        <v>54.54545454545454</v>
      </c>
      <c r="AM20" s="433">
        <f>IF(AND(OR($C20&lt;&gt;"",$D20&lt;&gt;""),$A20=1,$AJ$6="ДА"),(COUNTIF(G20,1)+COUNTIF(R20:AA20,1)+IF(AB20&lt;&gt;"N",AB20)),"")</f>
        <v>7</v>
      </c>
      <c r="AN20" s="360">
        <f>IF(AND(OR($C20&lt;&gt;"",$D20&lt;&gt;""),$A20=1,$AJ$6="ДА"),AM20/14*100,"")</f>
        <v>50</v>
      </c>
      <c r="AO20" s="434" t="str">
        <f>IF(AND(OR($C20&lt;&gt;"",$D20&lt;&gt;""),$A20=1,$AJ$6="ДА"),IF(A20=0, "", IF(AND(AK20&gt;=10, AK20&lt;=11, AM20&gt;=8),"ВЫСОКИЙ",IF(AND(AK20&gt;=7, AM20&gt;=1),"ПОВЫШЕННЫЙ",IF(AND(AK20&gt;=6, AM20&gt;=3),"БАЗОВЫЙ","НИЗКИЙ")))),"")</f>
        <v>БАЗОВЫЙ</v>
      </c>
      <c r="AP20" s="427">
        <f>$AI$18</f>
        <v>17.068965517241381</v>
      </c>
      <c r="AQ20" s="182">
        <f>$AJ$19</f>
        <v>0.6827586206896552</v>
      </c>
      <c r="AR20" s="176">
        <v>6</v>
      </c>
      <c r="AS20" s="181">
        <f>$AL$19</f>
        <v>69.905956112852664</v>
      </c>
      <c r="AT20" s="183">
        <f>IF(A20=1,IF(OR(AND(E20=1,'Ответы учащихся'!AB20=0.15),AND(E20=2,'Ответы учащихся'!AB20=-2)),1,IF('Ответы учащихся'!AB20="N",'Ответы учащихся'!AB20,0)),"")</f>
        <v>0</v>
      </c>
      <c r="AU20" s="176">
        <f>IF(A20=1,IF(OR(AND(E20=1,'Ответы учащихся'!AC20="м/с"),AND(E20=2,'Ответы учащихся'!AC20="mV0")),1,IF('Ответы учащихся'!AB20="N",'Ответы учащихся'!AB20,0)),"")</f>
        <v>0</v>
      </c>
      <c r="AV20" s="176">
        <f>IF(A20=1,IF(OR(AND(E20=1,'Ответы учащихся'!AD20=-6),AND(E20=2,'Ответы учащихся'!AD20=-10)),1,IF('Ответы учащихся'!AE20="N",'Ответы учащихся'!AE20,0)),"")</f>
        <v>0</v>
      </c>
      <c r="AW20" s="176">
        <f>IF(A20=1,IF(OR(AND(E20=1,'Ответы учащихся'!AE20="Нм"),AND(E20=2,'Ответы учащихся'!AE20="Нм")),1,IF('Ответы учащихся'!AE20="N",'Ответы учащихся'!AE20,0)),"")</f>
        <v>0</v>
      </c>
      <c r="AX20" s="176">
        <f>IF(A20=1,IF(OR(AND(E20=1,'Ответы учащихся'!AF20=250),AND(E20=2,'Ответы учащихся'!AF20=500)),1,IF('Ответы учащихся'!AF20="N",'Ответы учащихся'!AF20,0)),"")</f>
        <v>0</v>
      </c>
      <c r="AY20" s="176">
        <f>IF(A20=1,IF(OR(AND(E20=1,'Ответы учащихся'!AG20="м"),AND(E20=2,'Ответы учащихся'!AG20="Па")),1,IF('Ответы учащихся'!AF20="N",'Ответы учащихся'!AF20,0)),"")</f>
        <v>0</v>
      </c>
      <c r="AZ20" s="177" t="str">
        <f>IF(E20=1,(IF('Ответы учащихся'!N20=3,1,IF('Ответы учащихся'!N20="N",'Ответы учащихся'!N20,0))),"")</f>
        <v>N</v>
      </c>
      <c r="BA20" s="178" t="str">
        <f>IF(E20=2,IF('Ответы учащихся'!N20=1,1,(IF('Ответы учащихся'!N20="N",'Ответы учащихся'!N20,0))),"")</f>
        <v/>
      </c>
      <c r="BB20" s="179">
        <f>IF(E20=1,IF('Ответы учащихся'!O20=3,1,IF('Ответы учащихся'!O20="N",'Ответы учащихся'!O20,0)),"")</f>
        <v>0</v>
      </c>
      <c r="BC20" s="178" t="str">
        <f>IF(E20=2,IF('Ответы учащихся'!O20=2,1,IF('Ответы учащихся'!O20="N",'Ответы учащихся'!O20,0)),"")</f>
        <v/>
      </c>
      <c r="BD20" s="179">
        <f>IF(E20=1,IF('Ответы учащихся'!P20=1,1,IF('Ответы учащихся'!P20="N",'Ответы учащихся'!P20,0)),"")</f>
        <v>0</v>
      </c>
      <c r="BE20" s="178" t="str">
        <f>IF(E20=2,IF('Ответы учащихся'!P20=1,1,IF('Ответы учащихся'!P20="N",'Ответы учащихся'!P20,0)),"")</f>
        <v/>
      </c>
      <c r="BF20" s="184">
        <f>F17+G17+R17+S17+T17+W16+COUNTIF(AZ20:AZ59,1)</f>
        <v>113</v>
      </c>
      <c r="BG20" s="184">
        <f>H17+I17+AA15+COUNTIF(BA20:BA59,1)+COUNTIF(BC20:BC59,1)+COUNTIF(BE20:BE59,1)</f>
        <v>53</v>
      </c>
      <c r="BH20" s="184">
        <f>J17+K17+L17+M17+COUNTIF(BB20:BB59,1)+COUNTIF(BD20:BD59,1)</f>
        <v>79</v>
      </c>
      <c r="BI20" s="184"/>
      <c r="BJ20" s="6"/>
      <c r="BK20" s="6"/>
      <c r="BL20" s="6"/>
      <c r="BM20" s="6"/>
      <c r="BN20" s="6"/>
      <c r="BO20" s="6"/>
    </row>
    <row r="21" spans="1:67" ht="12.75" customHeight="1">
      <c r="A21" s="12">
        <f>IF('СПИСОК КЛАССА'!J21&gt;0,1,0)</f>
        <v>1</v>
      </c>
      <c r="B21" s="313">
        <v>2</v>
      </c>
      <c r="C21" s="314">
        <f>IF(NOT(ISBLANK('СПИСОК КЛАССА'!C21)),'СПИСОК КЛАССА'!C21,"")</f>
        <v>2</v>
      </c>
      <c r="D21" s="314" t="str">
        <f>IF(NOT(ISBLANK('СПИСОК КЛАССА'!D21)),IF($A21=1,'СПИСОК КЛАССА'!D21, "УЧЕНИК НЕ ВЫПОЛНЯЛ РАБОТУ"),"")</f>
        <v>БАБИЙ ЕВГЕНИЙ</v>
      </c>
      <c r="E21" s="287">
        <f>IF($C21&lt;&gt;"",'СПИСОК КЛАССА'!J21,"")</f>
        <v>1</v>
      </c>
      <c r="F21" s="441">
        <f>IF(AND(OR($C21&lt;&gt;"",$D21&lt;&gt;""),$A21=1,$AJ$6="ДА"),(IF(A21=1,IF(OR(AND(E21=1,'Ответы учащихся'!E21=1),AND(E21=2,'Ответы учащихся'!E21=3)),1,IF('Ответы учащихся'!E21="N",'Ответы учащихся'!E21,0)),"")),"")</f>
        <v>1</v>
      </c>
      <c r="G21" s="442">
        <f>IF(AND(OR($C21&lt;&gt;"",$D21&lt;&gt;""),$A21=1,$AJ$6="ДА"),(IF(A21=1,IF(OR(AND(E21=1,'Ответы учащихся'!F21=2),AND(E21=2,'Ответы учащихся'!F21=3)),1,IF('Ответы учащихся'!F21="N",'Ответы учащихся'!F21,0)),"")),"")</f>
        <v>1</v>
      </c>
      <c r="H21" s="304">
        <f>IF(AND(OR($C21&lt;&gt;"",$D21&lt;&gt;""),$A21=1,$AJ$6="ДА"),IF(A21=1,IF(OR(AND(E21=1,'Ответы учащихся'!G21="GIRL"),AND(E21=2,'Ответы учащихся'!G21="YEARS")),1,IF('Ответы учащихся'!G21="N",'Ответы учащихся'!G21,0)),""),"")</f>
        <v>1</v>
      </c>
      <c r="I21" s="98">
        <f>IF(AND(OR($C21&lt;&gt;"",$D21&lt;&gt;""),$A21=1,$AJ$6="ДА"),IF(A21=1,IF(OR(AND(E21=1,'Ответы учащихся'!H21="SHOUTED"),AND(E21=2,'Ответы учащихся'!H21="HER")),1,IF('Ответы учащихся'!H21="N",'Ответы учащихся'!H21,0)),""),"")</f>
        <v>1</v>
      </c>
      <c r="J21" s="98">
        <f>IF(AND(OR($C21&lt;&gt;"",$D21&lt;&gt;""),$A21=1,$AJ$6="ДА"),IF(A21=1,IF(OR(AND(E21=1,'Ответы учащихся'!I21="ZOO"),AND(E21=2,'Ответы учащихся'!I21="HUSBAND")),1,IF('Ответы учащихся'!I21="N",'Ответы учащихся'!I21,0)),""),"")</f>
        <v>1</v>
      </c>
      <c r="K21" s="98">
        <f>IF(AND(OR($C21&lt;&gt;"",$D21&lt;&gt;""),$A21=1,$AJ$6="ДА"),IF(A21=1,IF(OR(AND(E21=1,'Ответы учащихся'!J21="AT"),AND(E21=2,'Ответы учащихся'!J21="LIVE")),1,IF('Ответы учащихся'!J21="N",'Ответы учащихся'!J21,0)),""),"")</f>
        <v>1</v>
      </c>
      <c r="L21" s="98">
        <f>IF(AND(OR($C21&lt;&gt;"",$D21&lt;&gt;""),$A21=1,$AJ$6="ДА"),IF(A21=1,IF(OR(AND(E21=1,'Ответы учащихся'!K21="SAID"),AND(E21=2,'Ответы учащихся'!K21="MUCH")),1,IF('Ответы учащихся'!K21="N",'Ответы учащихся'!K21,0)),""),"")</f>
        <v>1</v>
      </c>
      <c r="M21" s="98">
        <f>IF(AND(OR($C21&lt;&gt;"",$D21&lt;&gt;""),$A21=1,$AJ$6="ДА"),IF(A21=1,IF(OR(AND(E21=1,'Ответы учащихся'!L21="MORNING"),AND(E21=2,'Ответы учащихся'!L21="SHEEP")),1,IF('Ответы учащихся'!L21="N",'Ответы учащихся'!L21,0)),""),"")</f>
        <v>1</v>
      </c>
      <c r="N21" s="98">
        <f>IF(AND(OR($C21&lt;&gt;"",$D21&lt;&gt;""),$A21=1,$AJ$6="ДА"),IF(A21=1,IF(OR(AND(E21=1,'Ответы учащихся'!M21="MUCH"),AND(E21=2,'Ответы учащихся'!M21="SELL")),1,IF('Ответы учащихся'!M21="N",'Ответы учащихся'!M21,0)),""),"")</f>
        <v>1</v>
      </c>
      <c r="O21" s="131">
        <f>IF(AND(OR($C21&lt;&gt;"",$D21&lt;&gt;""),$A21=1,$AJ$6="ДА"),IF(A21=1,IF(OR(AND(E21=1,'Ответы учащихся'!N21="LIKE"),AND(E21=2,'Ответы учащихся'!N21="IN")),1,IF('Ответы учащихся'!N21="N",'Ответы учащихся'!N21,0)),""),"")</f>
        <v>1</v>
      </c>
      <c r="P21" s="98">
        <f>IF(AND(OR($C21&lt;&gt;"",$D21&lt;&gt;""),$A21=1,$AJ$6="ДА"),IF(A21=1,IF(OR(AND(E21=1,'Ответы учащихся'!O21="ANIMALS"),AND(E21=2,'Ответы учащихся'!O21="CLOTHES")),1,IF('Ответы учащихся'!O21="N",'Ответы учащихся'!O21,0)),""),"")</f>
        <v>1</v>
      </c>
      <c r="Q21" s="98">
        <f>IF(AND(OR($C21&lt;&gt;"",$D21&lt;&gt;""),$A21=1,$AJ$6="ДА"),IF(A21=1,IF(OR(AND(E21=1,'Ответы учащихся'!P21="WE"),AND(E21=2,'Ответы учащихся'!P21="GOES")),1,IF('Ответы учащихся'!P21="N",'Ответы учащихся'!P21,0)),""),"")</f>
        <v>1</v>
      </c>
      <c r="R21" s="98">
        <f>IF(AND(OR($C21&lt;&gt;"",$D21&lt;&gt;""),$A21=1,$AJ$6="ДА"),IF(A21=1,IF(OR(AND(E21=1,'Ответы учащихся'!Q21="ASKED"),AND(E21=2,'Ответы учащихся'!Q21="MADE")),1,IF('Ответы учащихся'!Q21="N",'Ответы учащихся'!Q21,0)),""),"")</f>
        <v>1</v>
      </c>
      <c r="S21" s="98">
        <f>IF(AND(OR($C21&lt;&gt;"",$D21&lt;&gt;""),$A21=1,$AJ$6="ДА"),IF(A21=1,IF(OR(AND(E21=1,'Ответы учащихся'!R21="LOST"),AND(E21=2,'Ответы учащихся'!R21="GOT")),1,IF('Ответы учащихся'!R21="N",'Ответы учащихся'!R21,0)),""),"")</f>
        <v>1</v>
      </c>
      <c r="T21" s="98">
        <f>IF(AND(OR($C21&lt;&gt;"",$D21&lt;&gt;""),$A21=1,$AJ$6="ДА"),IF(A21=1,IF(OR(AND(E21=1,'Ответы учащихся'!S21="GOT"),AND(E21=2,'Ответы учащихся'!S21="CAME")),1,IF('Ответы учащихся'!S21="N",'Ответы учащихся'!S21,0)),""),"")</f>
        <v>1</v>
      </c>
      <c r="U21" s="98">
        <f>IF(AND(OR($C21&lt;&gt;"",$D21&lt;&gt;""),$A21=1,$AJ$6="ДА"),IF(A21=1,IF(OR(AND(E21=1,'Ответы учащихся'!T21="SAW"),AND(E21=2,'Ответы учащихся'!T21="OPENED")),1,IF('Ответы учащихся'!T21="N",'Ответы учащихся'!T21,0)),""),"")</f>
        <v>1</v>
      </c>
      <c r="V21" s="98">
        <f>IF(AND(OR($C21&lt;&gt;"",$D21&lt;&gt;""),$A21=1,$AJ$6="ДА"),IF(A21=1,IF(OR(AND(E21=1,'Ответы учащихся'!U21="WAS"),AND(E21=2,'Ответы учащихся'!U21="TRIED")),1,IF('Ответы учащихся'!U21="N",'Ответы учащихся'!U21,0)),""),"")</f>
        <v>1</v>
      </c>
      <c r="W21" s="98">
        <f>IF(AND(OR($C21&lt;&gt;"",$D21&lt;&gt;""),$A21=1,$AJ$6="ДА"),IF(A21=1,IF(OR(AND(E21=1,'Ответы учащихся'!V21="KNEW"),AND(E21=2,'Ответы учащихся'!V21="SAW")),1,IF('Ответы учащихся'!V21="N",'Ответы учащихся'!V21,0)),""),"")</f>
        <v>1</v>
      </c>
      <c r="X21" s="98">
        <f>IF(AND(OR($C21&lt;&gt;"",$D21&lt;&gt;""),$A21=1,$AJ$6="ДА"),IF(A21=1,IF(OR(AND(E21=1,'Ответы учащихся'!W21="BROKE"),AND(E21=2,'Ответы учащихся'!W21="WENT")),1,IF('Ответы учащихся'!W21="N",'Ответы учащихся'!W21,0)),""),"")</f>
        <v>1</v>
      </c>
      <c r="Y21" s="98">
        <f>IF(AND(OR($C21&lt;&gt;"",$D21&lt;&gt;""),$A21=1,$AJ$6="ДА"),IF(A21=1,IF(OR(AND(E21=1,'Ответы учащихся'!X21="CAME"),AND(E21=2,'Ответы учащихся'!X21="BEGAN")),1,IF('Ответы учащихся'!X21="N",'Ответы учащихся'!X21,0)),""),"")</f>
        <v>1</v>
      </c>
      <c r="Z21" s="98">
        <f>IF(AND(OR($C21&lt;&gt;"",$D21&lt;&gt;""),$A21=1,$AJ$6="ДА"),IF(A21=1,IF(OR(AND(E21=1,'Ответы учащихся'!Y21="RODE"),AND(E21=2,'Ответы учащихся'!Y21="PUT")),1,IF('Ответы учащихся'!Y21="N",'Ответы учащихся'!Y21,0)),""),"")</f>
        <v>1</v>
      </c>
      <c r="AA21" s="305">
        <f>IF(AND(OR($C21&lt;&gt;"",$D21&lt;&gt;""),$A21=1,$AJ$6="ДА"),IF(A21=1,IF(OR(AND(E21=1,'Ответы учащихся'!Z21="TOOK"),AND(E21=2,'Ответы учащихся'!Z21="LEFT")),1,IF('Ответы учащихся'!Z21="N",'Ответы учащихся'!Z21,0)),""),"")</f>
        <v>1</v>
      </c>
      <c r="AB21" s="477">
        <f>IF(AND(OR($C21&lt;&gt;"",$D21&lt;&gt;""),$A21=1,$AJ$6="ДА"),IF(OR('Ответы учащихся'!AA21="N",'Ответы учащихся'!AL21="N"),"N",('Ответы учащихся'!AA21+'Ответы учащихся'!AL21)),"")</f>
        <v>3</v>
      </c>
      <c r="AC21" s="310" t="b">
        <f t="shared" ref="AC21:AC59" si="5">IF(AB21=1,1)</f>
        <v>0</v>
      </c>
      <c r="AD21" s="274" t="b">
        <f t="shared" ref="AD21:AD59" si="6">IF(AB21=2,1)</f>
        <v>0</v>
      </c>
      <c r="AE21" s="274">
        <f t="shared" ref="AE21:AE59" si="7">IF(AB21=3,1)</f>
        <v>1</v>
      </c>
      <c r="AF21" s="274" t="b">
        <f t="shared" ref="AF21:AF59" si="8">IF(AB21=0,1)</f>
        <v>0</v>
      </c>
      <c r="AG21" s="274" t="b">
        <f>IF(OR('Ответы учащихся'!AA21="N",'Ответы учащихся'!AL21="N"),1)</f>
        <v>0</v>
      </c>
      <c r="AH21" s="289">
        <f>IF(AND(OR($C21&lt;&gt;"",$D21&lt;&gt;""),$A21=1,$AJ$6="ДА"),IF(A21=1,IF('Ответы учащихся'!AK21="N",'Ответы учащихся'!AK21,AF21+AG21),""),"")</f>
        <v>0</v>
      </c>
      <c r="AI21" s="461">
        <f t="shared" ref="AI21:AI59" si="9">IF(AND(OR($C21&lt;&gt;"",$D21&lt;&gt;""),$A21=1,$AJ$6="ДА"),(COUNTIF(F21:G21,1)+COUNTIF(H21:AA21,1)+IF(AB21&lt;&gt;"N",AB21)),"")</f>
        <v>25</v>
      </c>
      <c r="AJ21" s="128">
        <f t="shared" ref="AJ21:AJ59" si="10">IF(AND(OR($C21&lt;&gt;"",$D21&lt;&gt;""),$A21=1,$AJ$6="ДА"),AI21/25,"")</f>
        <v>1</v>
      </c>
      <c r="AK21" s="133">
        <f t="shared" ref="AK21:AK59" si="11">IF(AND(OR($C21&lt;&gt;"",$D21&lt;&gt;""),$A21=1,$AJ$6="ДА"),(COUNTIF(F21,1)+COUNTIF(H21:Q21,1)),"")</f>
        <v>11</v>
      </c>
      <c r="AL21" s="269">
        <f t="shared" ref="AL21:AL59" si="12">IF(AND(OR($C21&lt;&gt;"",$D21&lt;&gt;""),$A21=1,$AJ$6="ДА"),AK21/11*100,"")</f>
        <v>100</v>
      </c>
      <c r="AM21" s="133">
        <f t="shared" ref="AM21:AM59" si="13">IF(AND(OR($C21&lt;&gt;"",$D21&lt;&gt;""),$A21=1,$AJ$6="ДА"),(COUNTIF(G21,1)+COUNTIF(R21:AA21,1)+IF(AB21&lt;&gt;"N",AB21)),"")</f>
        <v>14</v>
      </c>
      <c r="AN21" s="269">
        <f t="shared" ref="AN21:AN59" si="14">IF(AND(OR($C21&lt;&gt;"",$D21&lt;&gt;""),$A21=1,$AJ$6="ДА"),AM21/14*100,"")</f>
        <v>100</v>
      </c>
      <c r="AO21" s="435" t="str">
        <f t="shared" ref="AO21:AO59" si="15">IF(AND(OR($C21&lt;&gt;"",$D21&lt;&gt;""),$A21=1,$AJ$6="ДА"),IF(A21=0, "", IF(AND(AK21&gt;=10, AK21&lt;=11, AM21&gt;=8),"ВЫСОКИЙ",IF(AND(AK21&gt;=7, AM21&gt;=1),"ПОВЫШЕННЫЙ",IF(AND(AK21&gt;=6, AM21&gt;=3),"БАЗОВЫЙ","НИЗКИЙ")))),"")</f>
        <v>ВЫСОКИЙ</v>
      </c>
      <c r="AP21" s="427">
        <f t="shared" ref="AP21:AP59" si="16">$AI$18</f>
        <v>17.068965517241381</v>
      </c>
      <c r="AQ21" s="182">
        <f t="shared" ref="AQ21:AQ59" si="17">$AJ$19</f>
        <v>0.6827586206896552</v>
      </c>
      <c r="AR21" s="176">
        <v>6</v>
      </c>
      <c r="AS21" s="181">
        <f t="shared" ref="AS21:AS59" si="18">$AL$19</f>
        <v>69.905956112852664</v>
      </c>
      <c r="AT21" s="183">
        <f>IF(A21=1,IF(OR(AND(E21=1,'Ответы учащихся'!AB21=0.15),AND(E21=2,'Ответы учащихся'!AB21=-2)),1,IF('Ответы учащихся'!AB21="N",'Ответы учащихся'!AB21,0)),"")</f>
        <v>0</v>
      </c>
      <c r="AU21" s="176">
        <f>IF(A21=1,IF(OR(AND(E21=1,'Ответы учащихся'!AC21="м/с"),AND(E21=2,'Ответы учащихся'!AC21="mV0")),1,IF('Ответы учащихся'!AB21="N",'Ответы учащихся'!AB21,0)),"")</f>
        <v>0</v>
      </c>
      <c r="AV21" s="176">
        <f>IF(A21=1,IF(OR(AND(E21=1,'Ответы учащихся'!AD21=-6),AND(E21=2,'Ответы учащихся'!AD21=-10)),1,IF('Ответы учащихся'!AE21="N",'Ответы учащихся'!AE21,0)),"")</f>
        <v>0</v>
      </c>
      <c r="AW21" s="176">
        <f>IF(A21=1,IF(OR(AND(E21=1,'Ответы учащихся'!AE21="Нм"),AND(E21=2,'Ответы учащихся'!AE21="Нм")),1,IF('Ответы учащихся'!AE21="N",'Ответы учащихся'!AE21,0)),"")</f>
        <v>0</v>
      </c>
      <c r="AX21" s="176">
        <f>IF(A21=1,IF(OR(AND(E21=1,'Ответы учащихся'!AF21=250),AND(E21=2,'Ответы учащихся'!AF21=500)),1,IF('Ответы учащихся'!AF21="N",'Ответы учащихся'!AF21,0)),"")</f>
        <v>0</v>
      </c>
      <c r="AY21" s="176">
        <f>IF(A21=1,IF(OR(AND(E21=1,'Ответы учащихся'!AG21="м"),AND(E21=2,'Ответы учащихся'!AG21="Па")),1,IF('Ответы учащихся'!AF21="N",'Ответы учащихся'!AF21,0)),"")</f>
        <v>0</v>
      </c>
      <c r="AZ21" s="177">
        <f>IF(E21=1,(IF('Ответы учащихся'!N21=3,1,IF('Ответы учащихся'!N21="N",'Ответы учащихся'!N21,0))),"")</f>
        <v>0</v>
      </c>
      <c r="BA21" s="178" t="str">
        <f>IF(E21=2,IF('Ответы учащихся'!N21=1,1,(IF('Ответы учащихся'!N21="N",'Ответы учащихся'!N21,0))),"")</f>
        <v/>
      </c>
      <c r="BB21" s="179">
        <f>IF(E21=1,IF('Ответы учащихся'!O21=3,1,IF('Ответы учащихся'!O21="N",'Ответы учащихся'!O21,0)),"")</f>
        <v>0</v>
      </c>
      <c r="BC21" s="178" t="str">
        <f>IF(E21=2,IF('Ответы учащихся'!O21=2,1,IF('Ответы учащихся'!O21="N",'Ответы учащихся'!O21,0)),"")</f>
        <v/>
      </c>
      <c r="BD21" s="179">
        <f>IF(E21=1,IF('Ответы учащихся'!P21=1,1,IF('Ответы учащихся'!P21="N",'Ответы учащихся'!P21,0)),"")</f>
        <v>0</v>
      </c>
      <c r="BE21" s="178" t="str">
        <f>IF(E21=2,IF('Ответы учащихся'!P21=1,1,IF('Ответы учащихся'!P21="N",'Ответы учащихся'!P21,0)),"")</f>
        <v/>
      </c>
      <c r="BF21" s="184">
        <f>F18+G18+R18+S18+T18+W18+COUNTIF(AZ20:AZ59,0)+W17</f>
        <v>69</v>
      </c>
      <c r="BG21" s="184">
        <f>H18+I18+AA16+AA17++AA18+COUNTIF(BA20:BA59,0)+COUNTIF(BC20:BC59,0)+COUNTIF(BE20:BE59,0)</f>
        <v>70</v>
      </c>
      <c r="BH21" s="184">
        <f>J18+K18+L18+M18+COUNTIF(BB20:BB59,0)+COUNTIF(BD20:BD59,0)</f>
        <v>67</v>
      </c>
      <c r="BI21" s="184"/>
      <c r="BJ21" s="6"/>
      <c r="BK21" s="6"/>
      <c r="BL21" s="6"/>
      <c r="BM21" s="6"/>
      <c r="BN21" s="6"/>
      <c r="BO21" s="6"/>
    </row>
    <row r="22" spans="1:67" ht="12.75" customHeight="1">
      <c r="A22" s="12">
        <f>IF('СПИСОК КЛАССА'!J22&gt;0,1,0)</f>
        <v>1</v>
      </c>
      <c r="B22" s="313">
        <v>3</v>
      </c>
      <c r="C22" s="314">
        <f>IF(NOT(ISBLANK('СПИСОК КЛАССА'!C22)),'СПИСОК КЛАССА'!C22,"")</f>
        <v>3</v>
      </c>
      <c r="D22" s="314" t="str">
        <f>IF(NOT(ISBLANK('СПИСОК КЛАССА'!D22)),IF($A22=1,'СПИСОК КЛАССА'!D22, "УЧЕНИК НЕ ВЫПОЛНЯЛ РАБОТУ"),"")</f>
        <v>БОБЕР НАТАЛЬЯ</v>
      </c>
      <c r="E22" s="287">
        <f>IF($C22&lt;&gt;"",'СПИСОК КЛАССА'!J22,"")</f>
        <v>1</v>
      </c>
      <c r="F22" s="441">
        <f>IF(AND(OR($C22&lt;&gt;"",$D22&lt;&gt;""),$A22=1,$AJ$6="ДА"),(IF(A22=1,IF(OR(AND(E22=1,'Ответы учащихся'!E22=1),AND(E22=2,'Ответы учащихся'!E22=3)),1,IF('Ответы учащихся'!E22="N",'Ответы учащихся'!E22,0)),"")),"")</f>
        <v>1</v>
      </c>
      <c r="G22" s="442">
        <f>IF(AND(OR($C22&lt;&gt;"",$D22&lt;&gt;""),$A22=1,$AJ$6="ДА"),(IF(A22=1,IF(OR(AND(E22=1,'Ответы учащихся'!F22=2),AND(E22=2,'Ответы учащихся'!F22=3)),1,IF('Ответы учащихся'!F22="N",'Ответы учащихся'!F22,0)),"")),"")</f>
        <v>0</v>
      </c>
      <c r="H22" s="304">
        <f>IF(AND(OR($C22&lt;&gt;"",$D22&lt;&gt;""),$A22=1,$AJ$6="ДА"),IF(A22=1,IF(OR(AND(E22=1,'Ответы учащихся'!G22="GIRL"),AND(E22=2,'Ответы учащихся'!G22="YEARS")),1,IF('Ответы учащихся'!G22="N",'Ответы учащихся'!G22,0)),""),"")</f>
        <v>1</v>
      </c>
      <c r="I22" s="98">
        <f>IF(AND(OR($C22&lt;&gt;"",$D22&lt;&gt;""),$A22=1,$AJ$6="ДА"),IF(A22=1,IF(OR(AND(E22=1,'Ответы учащихся'!H22="SHOUTED"),AND(E22=2,'Ответы учащихся'!H22="HER")),1,IF('Ответы учащихся'!H22="N",'Ответы учащихся'!H22,0)),""),"")</f>
        <v>1</v>
      </c>
      <c r="J22" s="98">
        <f>IF(AND(OR($C22&lt;&gt;"",$D22&lt;&gt;""),$A22=1,$AJ$6="ДА"),IF(A22=1,IF(OR(AND(E22=1,'Ответы учащихся'!I22="ZOO"),AND(E22=2,'Ответы учащихся'!I22="HUSBAND")),1,IF('Ответы учащихся'!I22="N",'Ответы учащихся'!I22,0)),""),"")</f>
        <v>0</v>
      </c>
      <c r="K22" s="98">
        <f>IF(AND(OR($C22&lt;&gt;"",$D22&lt;&gt;""),$A22=1,$AJ$6="ДА"),IF(A22=1,IF(OR(AND(E22=1,'Ответы учащихся'!J22="AT"),AND(E22=2,'Ответы учащихся'!J22="LIVE")),1,IF('Ответы учащихся'!J22="N",'Ответы учащихся'!J22,0)),""),"")</f>
        <v>1</v>
      </c>
      <c r="L22" s="98">
        <f>IF(AND(OR($C22&lt;&gt;"",$D22&lt;&gt;""),$A22=1,$AJ$6="ДА"),IF(A22=1,IF(OR(AND(E22=1,'Ответы учащихся'!K22="SAID"),AND(E22=2,'Ответы учащихся'!K22="MUCH")),1,IF('Ответы учащихся'!K22="N",'Ответы учащихся'!K22,0)),""),"")</f>
        <v>1</v>
      </c>
      <c r="M22" s="98">
        <f>IF(AND(OR($C22&lt;&gt;"",$D22&lt;&gt;""),$A22=1,$AJ$6="ДА"),IF(A22=1,IF(OR(AND(E22=1,'Ответы учащихся'!L22="MORNING"),AND(E22=2,'Ответы учащихся'!L22="SHEEP")),1,IF('Ответы учащихся'!L22="N",'Ответы учащихся'!L22,0)),""),"")</f>
        <v>0</v>
      </c>
      <c r="N22" s="98">
        <f>IF(AND(OR($C22&lt;&gt;"",$D22&lt;&gt;""),$A22=1,$AJ$6="ДА"),IF(A22=1,IF(OR(AND(E22=1,'Ответы учащихся'!M22="MUCH"),AND(E22=2,'Ответы учащихся'!M22="SELL")),1,IF('Ответы учащихся'!M22="N",'Ответы учащихся'!M22,0)),""),"")</f>
        <v>1</v>
      </c>
      <c r="O22" s="131">
        <f>IF(AND(OR($C22&lt;&gt;"",$D22&lt;&gt;""),$A22=1,$AJ$6="ДА"),IF(A22=1,IF(OR(AND(E22=1,'Ответы учащихся'!N22="LIKE"),AND(E22=2,'Ответы учащихся'!N22="IN")),1,IF('Ответы учащихся'!N22="N",'Ответы учащихся'!N22,0)),""),"")</f>
        <v>1</v>
      </c>
      <c r="P22" s="98">
        <f>IF(AND(OR($C22&lt;&gt;"",$D22&lt;&gt;""),$A22=1,$AJ$6="ДА"),IF(A22=1,IF(OR(AND(E22=1,'Ответы учащихся'!O22="ANIMALS"),AND(E22=2,'Ответы учащихся'!O22="CLOTHES")),1,IF('Ответы учащихся'!O22="N",'Ответы учащихся'!O22,0)),""),"")</f>
        <v>0</v>
      </c>
      <c r="Q22" s="98">
        <f>IF(AND(OR($C22&lt;&gt;"",$D22&lt;&gt;""),$A22=1,$AJ$6="ДА"),IF(A22=1,IF(OR(AND(E22=1,'Ответы учащихся'!P22="WE"),AND(E22=2,'Ответы учащихся'!P22="GOES")),1,IF('Ответы учащихся'!P22="N",'Ответы учащихся'!P22,0)),""),"")</f>
        <v>1</v>
      </c>
      <c r="R22" s="98">
        <f>IF(AND(OR($C22&lt;&gt;"",$D22&lt;&gt;""),$A22=1,$AJ$6="ДА"),IF(A22=1,IF(OR(AND(E22=1,'Ответы учащихся'!Q22="ASKED"),AND(E22=2,'Ответы учащихся'!Q22="MADE")),1,IF('Ответы учащихся'!Q22="N",'Ответы учащихся'!Q22,0)),""),"")</f>
        <v>0</v>
      </c>
      <c r="S22" s="98">
        <f>IF(AND(OR($C22&lt;&gt;"",$D22&lt;&gt;""),$A22=1,$AJ$6="ДА"),IF(A22=1,IF(OR(AND(E22=1,'Ответы учащихся'!R22="LOST"),AND(E22=2,'Ответы учащихся'!R22="GOT")),1,IF('Ответы учащихся'!R22="N",'Ответы учащихся'!R22,0)),""),"")</f>
        <v>1</v>
      </c>
      <c r="T22" s="98">
        <f>IF(AND(OR($C22&lt;&gt;"",$D22&lt;&gt;""),$A22=1,$AJ$6="ДА"),IF(A22=1,IF(OR(AND(E22=1,'Ответы учащихся'!S22="GOT"),AND(E22=2,'Ответы учащихся'!S22="CAME")),1,IF('Ответы учащихся'!S22="N",'Ответы учащихся'!S22,0)),""),"")</f>
        <v>1</v>
      </c>
      <c r="U22" s="98">
        <f>IF(AND(OR($C22&lt;&gt;"",$D22&lt;&gt;""),$A22=1,$AJ$6="ДА"),IF(A22=1,IF(OR(AND(E22=1,'Ответы учащихся'!T22="SAW"),AND(E22=2,'Ответы учащихся'!T22="OPENED")),1,IF('Ответы учащихся'!T22="N",'Ответы учащихся'!T22,0)),""),"")</f>
        <v>1</v>
      </c>
      <c r="V22" s="98">
        <f>IF(AND(OR($C22&lt;&gt;"",$D22&lt;&gt;""),$A22=1,$AJ$6="ДА"),IF(A22=1,IF(OR(AND(E22=1,'Ответы учащихся'!U22="WAS"),AND(E22=2,'Ответы учащихся'!U22="TRIED")),1,IF('Ответы учащихся'!U22="N",'Ответы учащихся'!U22,0)),""),"")</f>
        <v>0</v>
      </c>
      <c r="W22" s="98" t="str">
        <f>IF(AND(OR($C22&lt;&gt;"",$D22&lt;&gt;""),$A22=1,$AJ$6="ДА"),IF(A22=1,IF(OR(AND(E22=1,'Ответы учащихся'!V22="KNEW"),AND(E22=2,'Ответы учащихся'!V22="SAW")),1,IF('Ответы учащихся'!V22="N",'Ответы учащихся'!V22,0)),""),"")</f>
        <v>N</v>
      </c>
      <c r="X22" s="98" t="str">
        <f>IF(AND(OR($C22&lt;&gt;"",$D22&lt;&gt;""),$A22=1,$AJ$6="ДА"),IF(A22=1,IF(OR(AND(E22=1,'Ответы учащихся'!W22="BROKE"),AND(E22=2,'Ответы учащихся'!W22="WENT")),1,IF('Ответы учащихся'!W22="N",'Ответы учащихся'!W22,0)),""),"")</f>
        <v>N</v>
      </c>
      <c r="Y22" s="98">
        <f>IF(AND(OR($C22&lt;&gt;"",$D22&lt;&gt;""),$A22=1,$AJ$6="ДА"),IF(A22=1,IF(OR(AND(E22=1,'Ответы учащихся'!X22="CAME"),AND(E22=2,'Ответы учащихся'!X22="BEGAN")),1,IF('Ответы учащихся'!X22="N",'Ответы учащихся'!X22,0)),""),"")</f>
        <v>1</v>
      </c>
      <c r="Z22" s="98">
        <f>IF(AND(OR($C22&lt;&gt;"",$D22&lt;&gt;""),$A22=1,$AJ$6="ДА"),IF(A22=1,IF(OR(AND(E22=1,'Ответы учащихся'!Y22="RODE"),AND(E22=2,'Ответы учащихся'!Y22="PUT")),1,IF('Ответы учащихся'!Y22="N",'Ответы учащихся'!Y22,0)),""),"")</f>
        <v>0</v>
      </c>
      <c r="AA22" s="305">
        <f>IF(AND(OR($C22&lt;&gt;"",$D22&lt;&gt;""),$A22=1,$AJ$6="ДА"),IF(A22=1,IF(OR(AND(E22=1,'Ответы учащихся'!Z22="TOOK"),AND(E22=2,'Ответы учащихся'!Z22="LEFT")),1,IF('Ответы учащихся'!Z22="N",'Ответы учащихся'!Z22,0)),""),"")</f>
        <v>1</v>
      </c>
      <c r="AB22" s="477">
        <f>IF(AND(OR($C22&lt;&gt;"",$D22&lt;&gt;""),$A22=1,$AJ$6="ДА"),IF(OR('Ответы учащихся'!AA22="N",'Ответы учащихся'!AL22="N"),"N",('Ответы учащихся'!AA22+'Ответы учащихся'!AL22)),"")</f>
        <v>0</v>
      </c>
      <c r="AC22" s="310" t="b">
        <f t="shared" si="5"/>
        <v>0</v>
      </c>
      <c r="AD22" s="274" t="b">
        <f t="shared" si="6"/>
        <v>0</v>
      </c>
      <c r="AE22" s="274" t="b">
        <f t="shared" si="7"/>
        <v>0</v>
      </c>
      <c r="AF22" s="274">
        <f t="shared" si="8"/>
        <v>1</v>
      </c>
      <c r="AG22" s="274" t="b">
        <f>IF(OR('Ответы учащихся'!AA22="N",'Ответы учащихся'!AL22="N"),1)</f>
        <v>0</v>
      </c>
      <c r="AH22" s="289">
        <f>IF(AND(OR($C22&lt;&gt;"",$D22&lt;&gt;""),$A22=1,$AJ$6="ДА"),IF(A22=1,IF('Ответы учащихся'!AK22="N",'Ответы учащихся'!AK22,AF22+AG22),""),"")</f>
        <v>1</v>
      </c>
      <c r="AI22" s="461">
        <f t="shared" si="9"/>
        <v>13</v>
      </c>
      <c r="AJ22" s="128">
        <f t="shared" si="10"/>
        <v>0.52</v>
      </c>
      <c r="AK22" s="133">
        <f t="shared" si="11"/>
        <v>8</v>
      </c>
      <c r="AL22" s="269">
        <f t="shared" si="12"/>
        <v>72.727272727272734</v>
      </c>
      <c r="AM22" s="133">
        <f t="shared" si="13"/>
        <v>5</v>
      </c>
      <c r="AN22" s="269">
        <f t="shared" si="14"/>
        <v>35.714285714285715</v>
      </c>
      <c r="AO22" s="435" t="str">
        <f t="shared" si="15"/>
        <v>ПОВЫШЕННЫЙ</v>
      </c>
      <c r="AP22" s="427">
        <f t="shared" si="16"/>
        <v>17.068965517241381</v>
      </c>
      <c r="AQ22" s="182">
        <f t="shared" si="17"/>
        <v>0.6827586206896552</v>
      </c>
      <c r="AR22" s="176">
        <v>6</v>
      </c>
      <c r="AS22" s="181">
        <f t="shared" si="18"/>
        <v>69.905956112852664</v>
      </c>
      <c r="AT22" s="183">
        <f>IF(A22=1,IF(OR(AND(E22=1,'Ответы учащихся'!AB22=0.15),AND(E22=2,'Ответы учащихся'!AB22=-2)),1,IF('Ответы учащихся'!AB22="N",'Ответы учащихся'!AB22,0)),"")</f>
        <v>0</v>
      </c>
      <c r="AU22" s="176">
        <f>IF(A22=1,IF(OR(AND(E22=1,'Ответы учащихся'!AC22="м/с"),AND(E22=2,'Ответы учащихся'!AC22="mV0")),1,IF('Ответы учащихся'!AB22="N",'Ответы учащихся'!AB22,0)),"")</f>
        <v>0</v>
      </c>
      <c r="AV22" s="176">
        <f>IF(A22=1,IF(OR(AND(E22=1,'Ответы учащихся'!AD22=-6),AND(E22=2,'Ответы учащихся'!AD22=-10)),1,IF('Ответы учащихся'!AE22="N",'Ответы учащихся'!AE22,0)),"")</f>
        <v>0</v>
      </c>
      <c r="AW22" s="176">
        <f>IF(A22=1,IF(OR(AND(E22=1,'Ответы учащихся'!AE22="Нм"),AND(E22=2,'Ответы учащихся'!AE22="Нм")),1,IF('Ответы учащихся'!AE22="N",'Ответы учащихся'!AE22,0)),"")</f>
        <v>0</v>
      </c>
      <c r="AX22" s="176">
        <f>IF(A22=1,IF(OR(AND(E22=1,'Ответы учащихся'!AF22=250),AND(E22=2,'Ответы учащихся'!AF22=500)),1,IF('Ответы учащихся'!AF22="N",'Ответы учащихся'!AF22,0)),"")</f>
        <v>0</v>
      </c>
      <c r="AY22" s="176">
        <f>IF(A22=1,IF(OR(AND(E22=1,'Ответы учащихся'!AG22="м"),AND(E22=2,'Ответы учащихся'!AG22="Па")),1,IF('Ответы учащихся'!AF22="N",'Ответы учащихся'!AF22,0)),"")</f>
        <v>0</v>
      </c>
      <c r="AZ22" s="177">
        <f>IF(E22=1,(IF('Ответы учащихся'!N22=3,1,IF('Ответы учащихся'!N22="N",'Ответы учащихся'!N22,0))),"")</f>
        <v>0</v>
      </c>
      <c r="BA22" s="178" t="str">
        <f>IF(E22=2,IF('Ответы учащихся'!N22=1,1,(IF('Ответы учащихся'!N22="N",'Ответы учащихся'!N22,0))),"")</f>
        <v/>
      </c>
      <c r="BB22" s="179">
        <f>IF(E22=1,IF('Ответы учащихся'!O22=3,1,IF('Ответы учащихся'!O22="N",'Ответы учащихся'!O22,0)),"")</f>
        <v>0</v>
      </c>
      <c r="BC22" s="178" t="str">
        <f>IF(E22=2,IF('Ответы учащихся'!O22=2,1,IF('Ответы учащихся'!O22="N",'Ответы учащихся'!O22,0)),"")</f>
        <v/>
      </c>
      <c r="BD22" s="179">
        <f>IF(E22=1,IF('Ответы учащихся'!P22=1,1,IF('Ответы учащихся'!P22="N",'Ответы учащихся'!P22,0)),"")</f>
        <v>0</v>
      </c>
      <c r="BE22" s="178" t="str">
        <f>IF(E22=2,IF('Ответы учащихся'!P22=1,1,IF('Ответы учащихся'!P22="N",'Ответы учащихся'!P22,0)),"")</f>
        <v/>
      </c>
      <c r="BF22" s="184">
        <f>F19+G19+R19+S19+T19+W19+COUNTIF(AZ20:AZ59,"N")</f>
        <v>7</v>
      </c>
      <c r="BG22" s="184">
        <f>H19+I19+AA19+COUNTIF(BA20:BA59,"N")+COUNTIF(BC20:BC59,"N")+COUNTIF(BE20:BE59,"N")</f>
        <v>6</v>
      </c>
      <c r="BH22" s="184">
        <f>J19+K19+L19+M19+COUNTIF(BB20:BB59,"N")+COUNTIF(BD20:BD59,"N")</f>
        <v>0</v>
      </c>
      <c r="BI22" s="184"/>
      <c r="BJ22" s="6"/>
      <c r="BK22" s="6"/>
      <c r="BL22" s="6"/>
      <c r="BM22" s="6"/>
      <c r="BN22" s="6"/>
      <c r="BO22" s="6"/>
    </row>
    <row r="23" spans="1:67" ht="12.75" customHeight="1">
      <c r="A23" s="12">
        <f>IF('СПИСОК КЛАССА'!J23&gt;0,1,0)</f>
        <v>1</v>
      </c>
      <c r="B23" s="313">
        <v>4</v>
      </c>
      <c r="C23" s="314">
        <f>IF(NOT(ISBLANK('СПИСОК КЛАССА'!C23)),'СПИСОК КЛАССА'!C23,"")</f>
        <v>4</v>
      </c>
      <c r="D23" s="314" t="str">
        <f>IF(NOT(ISBLANK('СПИСОК КЛАССА'!D23)),IF($A23=1,'СПИСОК КЛАССА'!D23, "УЧЕНИК НЕ ВЫПОЛНЯЛ РАБОТУ"),"")</f>
        <v>БОГДАНОВА РОЗАЛИЯ</v>
      </c>
      <c r="E23" s="287">
        <f>IF($C23&lt;&gt;"",'СПИСОК КЛАССА'!J23,"")</f>
        <v>1</v>
      </c>
      <c r="F23" s="441">
        <f>IF(AND(OR($C23&lt;&gt;"",$D23&lt;&gt;""),$A23=1,$AJ$6="ДА"),(IF(A23=1,IF(OR(AND(E23=1,'Ответы учащихся'!E23=1),AND(E23=2,'Ответы учащихся'!E23=3)),1,IF('Ответы учащихся'!E23="N",'Ответы учащихся'!E23,0)),"")),"")</f>
        <v>0</v>
      </c>
      <c r="G23" s="442">
        <f>IF(AND(OR($C23&lt;&gt;"",$D23&lt;&gt;""),$A23=1,$AJ$6="ДА"),(IF(A23=1,IF(OR(AND(E23=1,'Ответы учащихся'!F23=2),AND(E23=2,'Ответы учащихся'!F23=3)),1,IF('Ответы учащихся'!F23="N",'Ответы учащихся'!F23,0)),"")),"")</f>
        <v>0</v>
      </c>
      <c r="H23" s="304">
        <f>IF(AND(OR($C23&lt;&gt;"",$D23&lt;&gt;""),$A23=1,$AJ$6="ДА"),IF(A23=1,IF(OR(AND(E23=1,'Ответы учащихся'!G23="GIRL"),AND(E23=2,'Ответы учащихся'!G23="YEARS")),1,IF('Ответы учащихся'!G23="N",'Ответы учащихся'!G23,0)),""),"")</f>
        <v>1</v>
      </c>
      <c r="I23" s="98">
        <f>IF(AND(OR($C23&lt;&gt;"",$D23&lt;&gt;""),$A23=1,$AJ$6="ДА"),IF(A23=1,IF(OR(AND(E23=1,'Ответы учащихся'!H23="SHOUTED"),AND(E23=2,'Ответы учащихся'!H23="HER")),1,IF('Ответы учащихся'!H23="N",'Ответы учащихся'!H23,0)),""),"")</f>
        <v>0</v>
      </c>
      <c r="J23" s="98">
        <f>IF(AND(OR($C23&lt;&gt;"",$D23&lt;&gt;""),$A23=1,$AJ$6="ДА"),IF(A23=1,IF(OR(AND(E23=1,'Ответы учащихся'!I23="ZOO"),AND(E23=2,'Ответы учащихся'!I23="HUSBAND")),1,IF('Ответы учащихся'!I23="N",'Ответы учащихся'!I23,0)),""),"")</f>
        <v>1</v>
      </c>
      <c r="K23" s="98">
        <f>IF(AND(OR($C23&lt;&gt;"",$D23&lt;&gt;""),$A23=1,$AJ$6="ДА"),IF(A23=1,IF(OR(AND(E23=1,'Ответы учащихся'!J23="AT"),AND(E23=2,'Ответы учащихся'!J23="LIVE")),1,IF('Ответы учащихся'!J23="N",'Ответы учащихся'!J23,0)),""),"")</f>
        <v>0</v>
      </c>
      <c r="L23" s="98">
        <f>IF(AND(OR($C23&lt;&gt;"",$D23&lt;&gt;""),$A23=1,$AJ$6="ДА"),IF(A23=1,IF(OR(AND(E23=1,'Ответы учащихся'!K23="SAID"),AND(E23=2,'Ответы учащихся'!K23="MUCH")),1,IF('Ответы учащихся'!K23="N",'Ответы учащихся'!K23,0)),""),"")</f>
        <v>1</v>
      </c>
      <c r="M23" s="98">
        <f>IF(AND(OR($C23&lt;&gt;"",$D23&lt;&gt;""),$A23=1,$AJ$6="ДА"),IF(A23=1,IF(OR(AND(E23=1,'Ответы учащихся'!L23="MORNING"),AND(E23=2,'Ответы учащихся'!L23="SHEEP")),1,IF('Ответы учащихся'!L23="N",'Ответы учащихся'!L23,0)),""),"")</f>
        <v>0</v>
      </c>
      <c r="N23" s="98">
        <f>IF(AND(OR($C23&lt;&gt;"",$D23&lt;&gt;""),$A23=1,$AJ$6="ДА"),IF(A23=1,IF(OR(AND(E23=1,'Ответы учащихся'!M23="MUCH"),AND(E23=2,'Ответы учащихся'!M23="SELL")),1,IF('Ответы учащихся'!M23="N",'Ответы учащихся'!M23,0)),""),"")</f>
        <v>0</v>
      </c>
      <c r="O23" s="131">
        <f>IF(AND(OR($C23&lt;&gt;"",$D23&lt;&gt;""),$A23=1,$AJ$6="ДА"),IF(A23=1,IF(OR(AND(E23=1,'Ответы учащихся'!N23="LIKE"),AND(E23=2,'Ответы учащихся'!N23="IN")),1,IF('Ответы учащихся'!N23="N",'Ответы учащихся'!N23,0)),""),"")</f>
        <v>1</v>
      </c>
      <c r="P23" s="98">
        <f>IF(AND(OR($C23&lt;&gt;"",$D23&lt;&gt;""),$A23=1,$AJ$6="ДА"),IF(A23=1,IF(OR(AND(E23=1,'Ответы учащихся'!O23="ANIMALS"),AND(E23=2,'Ответы учащихся'!O23="CLOTHES")),1,IF('Ответы учащихся'!O23="N",'Ответы учащихся'!O23,0)),""),"")</f>
        <v>1</v>
      </c>
      <c r="Q23" s="98">
        <f>IF(AND(OR($C23&lt;&gt;"",$D23&lt;&gt;""),$A23=1,$AJ$6="ДА"),IF(A23=1,IF(OR(AND(E23=1,'Ответы учащихся'!P23="WE"),AND(E23=2,'Ответы учащихся'!P23="GOES")),1,IF('Ответы учащихся'!P23="N",'Ответы учащихся'!P23,0)),""),"")</f>
        <v>1</v>
      </c>
      <c r="R23" s="98">
        <f>IF(AND(OR($C23&lt;&gt;"",$D23&lt;&gt;""),$A23=1,$AJ$6="ДА"),IF(A23=1,IF(OR(AND(E23=1,'Ответы учащихся'!Q23="ASKED"),AND(E23=2,'Ответы учащихся'!Q23="MADE")),1,IF('Ответы учащихся'!Q23="N",'Ответы учащихся'!Q23,0)),""),"")</f>
        <v>1</v>
      </c>
      <c r="S23" s="98">
        <f>IF(AND(OR($C23&lt;&gt;"",$D23&lt;&gt;""),$A23=1,$AJ$6="ДА"),IF(A23=1,IF(OR(AND(E23=1,'Ответы учащихся'!R23="LOST"),AND(E23=2,'Ответы учащихся'!R23="GOT")),1,IF('Ответы учащихся'!R23="N",'Ответы учащихся'!R23,0)),""),"")</f>
        <v>0</v>
      </c>
      <c r="T23" s="98">
        <f>IF(AND(OR($C23&lt;&gt;"",$D23&lt;&gt;""),$A23=1,$AJ$6="ДА"),IF(A23=1,IF(OR(AND(E23=1,'Ответы учащихся'!S23="GOT"),AND(E23=2,'Ответы учащихся'!S23="CAME")),1,IF('Ответы учащихся'!S23="N",'Ответы учащихся'!S23,0)),""),"")</f>
        <v>0</v>
      </c>
      <c r="U23" s="98">
        <f>IF(AND(OR($C23&lt;&gt;"",$D23&lt;&gt;""),$A23=1,$AJ$6="ДА"),IF(A23=1,IF(OR(AND(E23=1,'Ответы учащихся'!T23="SAW"),AND(E23=2,'Ответы учащихся'!T23="OPENED")),1,IF('Ответы учащихся'!T23="N",'Ответы учащихся'!T23,0)),""),"")</f>
        <v>1</v>
      </c>
      <c r="V23" s="98">
        <f>IF(AND(OR($C23&lt;&gt;"",$D23&lt;&gt;""),$A23=1,$AJ$6="ДА"),IF(A23=1,IF(OR(AND(E23=1,'Ответы учащихся'!U23="WAS"),AND(E23=2,'Ответы учащихся'!U23="TRIED")),1,IF('Ответы учащихся'!U23="N",'Ответы учащихся'!U23,0)),""),"")</f>
        <v>1</v>
      </c>
      <c r="W23" s="98">
        <f>IF(AND(OR($C23&lt;&gt;"",$D23&lt;&gt;""),$A23=1,$AJ$6="ДА"),IF(A23=1,IF(OR(AND(E23=1,'Ответы учащихся'!V23="KNEW"),AND(E23=2,'Ответы учащихся'!V23="SAW")),1,IF('Ответы учащихся'!V23="N",'Ответы учащихся'!V23,0)),""),"")</f>
        <v>0</v>
      </c>
      <c r="X23" s="98">
        <f>IF(AND(OR($C23&lt;&gt;"",$D23&lt;&gt;""),$A23=1,$AJ$6="ДА"),IF(A23=1,IF(OR(AND(E23=1,'Ответы учащихся'!W23="BROKE"),AND(E23=2,'Ответы учащихся'!W23="WENT")),1,IF('Ответы учащихся'!W23="N",'Ответы учащихся'!W23,0)),""),"")</f>
        <v>0</v>
      </c>
      <c r="Y23" s="98">
        <f>IF(AND(OR($C23&lt;&gt;"",$D23&lt;&gt;""),$A23=1,$AJ$6="ДА"),IF(A23=1,IF(OR(AND(E23=1,'Ответы учащихся'!X23="CAME"),AND(E23=2,'Ответы учащихся'!X23="BEGAN")),1,IF('Ответы учащихся'!X23="N",'Ответы учащихся'!X23,0)),""),"")</f>
        <v>1</v>
      </c>
      <c r="Z23" s="98">
        <f>IF(AND(OR($C23&lt;&gt;"",$D23&lt;&gt;""),$A23=1,$AJ$6="ДА"),IF(A23=1,IF(OR(AND(E23=1,'Ответы учащихся'!Y23="RODE"),AND(E23=2,'Ответы учащихся'!Y23="PUT")),1,IF('Ответы учащихся'!Y23="N",'Ответы учащихся'!Y23,0)),""),"")</f>
        <v>0</v>
      </c>
      <c r="AA23" s="305">
        <f>IF(AND(OR($C23&lt;&gt;"",$D23&lt;&gt;""),$A23=1,$AJ$6="ДА"),IF(A23=1,IF(OR(AND(E23=1,'Ответы учащихся'!Z23="TOOK"),AND(E23=2,'Ответы учащихся'!Z23="LEFT")),1,IF('Ответы учащихся'!Z23="N",'Ответы учащихся'!Z23,0)),""),"")</f>
        <v>0</v>
      </c>
      <c r="AB23" s="477">
        <f>IF(AND(OR($C23&lt;&gt;"",$D23&lt;&gt;""),$A23=1,$AJ$6="ДА"),IF(OR('Ответы учащихся'!AA23="N",'Ответы учащихся'!AL23="N"),"N",('Ответы учащихся'!AA23+'Ответы учащихся'!AL23)),"")</f>
        <v>1</v>
      </c>
      <c r="AC23" s="310">
        <f t="shared" si="5"/>
        <v>1</v>
      </c>
      <c r="AD23" s="274" t="b">
        <f t="shared" si="6"/>
        <v>0</v>
      </c>
      <c r="AE23" s="274" t="b">
        <f t="shared" si="7"/>
        <v>0</v>
      </c>
      <c r="AF23" s="274" t="b">
        <f t="shared" si="8"/>
        <v>0</v>
      </c>
      <c r="AG23" s="274" t="b">
        <f>IF(OR('Ответы учащихся'!AA23="N",'Ответы учащихся'!AL23="N"),1)</f>
        <v>0</v>
      </c>
      <c r="AH23" s="289">
        <f>IF(AND(OR($C23&lt;&gt;"",$D23&lt;&gt;""),$A23=1,$AJ$6="ДА"),IF(A23=1,IF('Ответы учащихся'!AK23="N",'Ответы учащихся'!AK23,AF23+AG23),""),"")</f>
        <v>0</v>
      </c>
      <c r="AI23" s="461">
        <f t="shared" si="9"/>
        <v>11</v>
      </c>
      <c r="AJ23" s="128">
        <f t="shared" si="10"/>
        <v>0.44</v>
      </c>
      <c r="AK23" s="133">
        <f t="shared" si="11"/>
        <v>6</v>
      </c>
      <c r="AL23" s="269">
        <f t="shared" si="12"/>
        <v>54.54545454545454</v>
      </c>
      <c r="AM23" s="133">
        <f t="shared" si="13"/>
        <v>5</v>
      </c>
      <c r="AN23" s="269">
        <f t="shared" si="14"/>
        <v>35.714285714285715</v>
      </c>
      <c r="AO23" s="435" t="str">
        <f t="shared" si="15"/>
        <v>БАЗОВЫЙ</v>
      </c>
      <c r="AP23" s="427">
        <f t="shared" si="16"/>
        <v>17.068965517241381</v>
      </c>
      <c r="AQ23" s="182">
        <f t="shared" si="17"/>
        <v>0.6827586206896552</v>
      </c>
      <c r="AR23" s="176">
        <v>6</v>
      </c>
      <c r="AS23" s="181">
        <f t="shared" si="18"/>
        <v>69.905956112852664</v>
      </c>
      <c r="AT23" s="183">
        <f>IF(A23=1,IF(OR(AND(E23=1,'Ответы учащихся'!AB23=0.15),AND(E23=2,'Ответы учащихся'!AB23=-2)),1,IF('Ответы учащихся'!AB23="N",'Ответы учащихся'!AB23,0)),"")</f>
        <v>0</v>
      </c>
      <c r="AU23" s="176">
        <f>IF(A23=1,IF(OR(AND(E23=1,'Ответы учащихся'!AC23="м/с"),AND(E23=2,'Ответы учащихся'!AC23="mV0")),1,IF('Ответы учащихся'!AB23="N",'Ответы учащихся'!AB23,0)),"")</f>
        <v>0</v>
      </c>
      <c r="AV23" s="176">
        <f>IF(A23=1,IF(OR(AND(E23=1,'Ответы учащихся'!AD23=-6),AND(E23=2,'Ответы учащихся'!AD23=-10)),1,IF('Ответы учащихся'!AE23="N",'Ответы учащихся'!AE23,0)),"")</f>
        <v>0</v>
      </c>
      <c r="AW23" s="176">
        <f>IF(A23=1,IF(OR(AND(E23=1,'Ответы учащихся'!AE23="Нм"),AND(E23=2,'Ответы учащихся'!AE23="Нм")),1,IF('Ответы учащихся'!AE23="N",'Ответы учащихся'!AE23,0)),"")</f>
        <v>0</v>
      </c>
      <c r="AX23" s="176">
        <f>IF(A23=1,IF(OR(AND(E23=1,'Ответы учащихся'!AF23=250),AND(E23=2,'Ответы учащихся'!AF23=500)),1,IF('Ответы учащихся'!AF23="N",'Ответы учащихся'!AF23,0)),"")</f>
        <v>0</v>
      </c>
      <c r="AY23" s="176">
        <f>IF(A23=1,IF(OR(AND(E23=1,'Ответы учащихся'!AG23="м"),AND(E23=2,'Ответы учащихся'!AG23="Па")),1,IF('Ответы учащихся'!AF23="N",'Ответы учащихся'!AF23,0)),"")</f>
        <v>0</v>
      </c>
      <c r="AZ23" s="177">
        <f>IF(E23=1,(IF('Ответы учащихся'!N23=3,1,IF('Ответы учащихся'!N23="N",'Ответы учащихся'!N23,0))),"")</f>
        <v>0</v>
      </c>
      <c r="BA23" s="178" t="str">
        <f>IF(E23=2,IF('Ответы учащихся'!N23=1,1,(IF('Ответы учащихся'!N23="N",'Ответы учащихся'!N23,0))),"")</f>
        <v/>
      </c>
      <c r="BB23" s="179">
        <f>IF(E23=1,IF('Ответы учащихся'!O23=3,1,IF('Ответы учащихся'!O23="N",'Ответы учащихся'!O23,0)),"")</f>
        <v>0</v>
      </c>
      <c r="BC23" s="178" t="str">
        <f>IF(E23=2,IF('Ответы учащихся'!O23=2,1,IF('Ответы учащихся'!O23="N",'Ответы учащихся'!O23,0)),"")</f>
        <v/>
      </c>
      <c r="BD23" s="179">
        <f>IF(E23=1,IF('Ответы учащихся'!P23=1,1,IF('Ответы учащихся'!P23="N",'Ответы учащихся'!P23,0)),"")</f>
        <v>0</v>
      </c>
      <c r="BE23" s="178" t="str">
        <f>IF(E23=2,IF('Ответы учащихся'!P23=1,1,IF('Ответы учащихся'!P23="N",'Ответы учащихся'!P23,0)),"")</f>
        <v/>
      </c>
      <c r="BF23" s="185">
        <f>SUM(F17:N17)</f>
        <v>197</v>
      </c>
      <c r="BG23" s="176">
        <f>O17+W16+AA15</f>
        <v>18</v>
      </c>
      <c r="BH23" s="176">
        <f>R17+S17+T17</f>
        <v>63</v>
      </c>
      <c r="BI23" s="176">
        <f>P17+Q17</f>
        <v>32</v>
      </c>
      <c r="BJ23" s="6"/>
      <c r="BK23" s="6"/>
      <c r="BL23" s="6"/>
      <c r="BM23" s="6"/>
      <c r="BN23" s="6"/>
      <c r="BO23" s="6"/>
    </row>
    <row r="24" spans="1:67" ht="12.75" customHeight="1">
      <c r="A24" s="12">
        <f>IF('СПИСОК КЛАССА'!J24&gt;0,1,0)</f>
        <v>1</v>
      </c>
      <c r="B24" s="313">
        <v>5</v>
      </c>
      <c r="C24" s="314">
        <f>IF(NOT(ISBLANK('СПИСОК КЛАССА'!C24)),'СПИСОК КЛАССА'!C24,"")</f>
        <v>5</v>
      </c>
      <c r="D24" s="314" t="str">
        <f>IF(NOT(ISBLANK('СПИСОК КЛАССА'!D24)),IF($A24=1,'СПИСОК КЛАССА'!D24, "УЧЕНИК НЕ ВЫПОЛНЯЛ РАБОТУ"),"")</f>
        <v>ВАЩЕНКОВ ЕВГЕНИЙ</v>
      </c>
      <c r="E24" s="287">
        <f>IF($C24&lt;&gt;"",'СПИСОК КЛАССА'!J24,"")</f>
        <v>2</v>
      </c>
      <c r="F24" s="441">
        <f>IF(AND(OR($C24&lt;&gt;"",$D24&lt;&gt;""),$A24=1,$AJ$6="ДА"),(IF(A24=1,IF(OR(AND(E24=1,'Ответы учащихся'!E24=1),AND(E24=2,'Ответы учащихся'!E24=3)),1,IF('Ответы учащихся'!E24="N",'Ответы учащихся'!E24,0)),"")),"")</f>
        <v>0</v>
      </c>
      <c r="G24" s="442">
        <f>IF(AND(OR($C24&lt;&gt;"",$D24&lt;&gt;""),$A24=1,$AJ$6="ДА"),(IF(A24=1,IF(OR(AND(E24=1,'Ответы учащихся'!F24=2),AND(E24=2,'Ответы учащихся'!F24=3)),1,IF('Ответы учащихся'!F24="N",'Ответы учащихся'!F24,0)),"")),"")</f>
        <v>0</v>
      </c>
      <c r="H24" s="304">
        <f>IF(AND(OR($C24&lt;&gt;"",$D24&lt;&gt;""),$A24=1,$AJ$6="ДА"),IF(A24=1,IF(OR(AND(E24=1,'Ответы учащихся'!G24="GIRL"),AND(E24=2,'Ответы учащихся'!G24="YEARS")),1,IF('Ответы учащихся'!G24="N",'Ответы учащихся'!G24,0)),""),"")</f>
        <v>1</v>
      </c>
      <c r="I24" s="98">
        <f>IF(AND(OR($C24&lt;&gt;"",$D24&lt;&gt;""),$A24=1,$AJ$6="ДА"),IF(A24=1,IF(OR(AND(E24=1,'Ответы учащихся'!H24="SHOUTED"),AND(E24=2,'Ответы учащихся'!H24="HER")),1,IF('Ответы учащихся'!H24="N",'Ответы учащихся'!H24,0)),""),"")</f>
        <v>1</v>
      </c>
      <c r="J24" s="98">
        <f>IF(AND(OR($C24&lt;&gt;"",$D24&lt;&gt;""),$A24=1,$AJ$6="ДА"),IF(A24=1,IF(OR(AND(E24=1,'Ответы учащихся'!I24="ZOO"),AND(E24=2,'Ответы учащихся'!I24="HUSBAND")),1,IF('Ответы учащихся'!I24="N",'Ответы учащихся'!I24,0)),""),"")</f>
        <v>1</v>
      </c>
      <c r="K24" s="98">
        <f>IF(AND(OR($C24&lt;&gt;"",$D24&lt;&gt;""),$A24=1,$AJ$6="ДА"),IF(A24=1,IF(OR(AND(E24=1,'Ответы учащихся'!J24="AT"),AND(E24=2,'Ответы учащихся'!J24="LIVE")),1,IF('Ответы учащихся'!J24="N",'Ответы учащихся'!J24,0)),""),"")</f>
        <v>0</v>
      </c>
      <c r="L24" s="98">
        <f>IF(AND(OR($C24&lt;&gt;"",$D24&lt;&gt;""),$A24=1,$AJ$6="ДА"),IF(A24=1,IF(OR(AND(E24=1,'Ответы учащихся'!K24="SAID"),AND(E24=2,'Ответы учащихся'!K24="MUCH")),1,IF('Ответы учащихся'!K24="N",'Ответы учащихся'!K24,0)),""),"")</f>
        <v>0</v>
      </c>
      <c r="M24" s="98">
        <f>IF(AND(OR($C24&lt;&gt;"",$D24&lt;&gt;""),$A24=1,$AJ$6="ДА"),IF(A24=1,IF(OR(AND(E24=1,'Ответы учащихся'!L24="MORNING"),AND(E24=2,'Ответы учащихся'!L24="SHEEP")),1,IF('Ответы учащихся'!L24="N",'Ответы учащихся'!L24,0)),""),"")</f>
        <v>1</v>
      </c>
      <c r="N24" s="98">
        <f>IF(AND(OR($C24&lt;&gt;"",$D24&lt;&gt;""),$A24=1,$AJ$6="ДА"),IF(A24=1,IF(OR(AND(E24=1,'Ответы учащихся'!M24="MUCH"),AND(E24=2,'Ответы учащихся'!M24="SELL")),1,IF('Ответы учащихся'!M24="N",'Ответы учащихся'!M24,0)),""),"")</f>
        <v>0</v>
      </c>
      <c r="O24" s="131" t="str">
        <f>IF(AND(OR($C24&lt;&gt;"",$D24&lt;&gt;""),$A24=1,$AJ$6="ДА"),IF(A24=1,IF(OR(AND(E24=1,'Ответы учащихся'!N24="LIKE"),AND(E24=2,'Ответы учащихся'!N24="IN")),1,IF('Ответы учащихся'!N24="N",'Ответы учащихся'!N24,0)),""),"")</f>
        <v>N</v>
      </c>
      <c r="P24" s="98" t="str">
        <f>IF(AND(OR($C24&lt;&gt;"",$D24&lt;&gt;""),$A24=1,$AJ$6="ДА"),IF(A24=1,IF(OR(AND(E24=1,'Ответы учащихся'!O24="ANIMALS"),AND(E24=2,'Ответы учащихся'!O24="CLOTHES")),1,IF('Ответы учащихся'!O24="N",'Ответы учащихся'!O24,0)),""),"")</f>
        <v>N</v>
      </c>
      <c r="Q24" s="98">
        <f>IF(AND(OR($C24&lt;&gt;"",$D24&lt;&gt;""),$A24=1,$AJ$6="ДА"),IF(A24=1,IF(OR(AND(E24=1,'Ответы учащихся'!P24="WE"),AND(E24=2,'Ответы учащихся'!P24="GOES")),1,IF('Ответы учащихся'!P24="N",'Ответы учащихся'!P24,0)),""),"")</f>
        <v>0</v>
      </c>
      <c r="R24" s="98">
        <f>IF(AND(OR($C24&lt;&gt;"",$D24&lt;&gt;""),$A24=1,$AJ$6="ДА"),IF(A24=1,IF(OR(AND(E24=1,'Ответы учащихся'!Q24="ASKED"),AND(E24=2,'Ответы учащихся'!Q24="MADE")),1,IF('Ответы учащихся'!Q24="N",'Ответы учащихся'!Q24,0)),""),"")</f>
        <v>1</v>
      </c>
      <c r="S24" s="98">
        <f>IF(AND(OR($C24&lt;&gt;"",$D24&lt;&gt;""),$A24=1,$AJ$6="ДА"),IF(A24=1,IF(OR(AND(E24=1,'Ответы учащихся'!R24="LOST"),AND(E24=2,'Ответы учащихся'!R24="GOT")),1,IF('Ответы учащихся'!R24="N",'Ответы учащихся'!R24,0)),""),"")</f>
        <v>0</v>
      </c>
      <c r="T24" s="98">
        <f>IF(AND(OR($C24&lt;&gt;"",$D24&lt;&gt;""),$A24=1,$AJ$6="ДА"),IF(A24=1,IF(OR(AND(E24=1,'Ответы учащихся'!S24="GOT"),AND(E24=2,'Ответы учащихся'!S24="CAME")),1,IF('Ответы учащихся'!S24="N",'Ответы учащихся'!S24,0)),""),"")</f>
        <v>1</v>
      </c>
      <c r="U24" s="98">
        <f>IF(AND(OR($C24&lt;&gt;"",$D24&lt;&gt;""),$A24=1,$AJ$6="ДА"),IF(A24=1,IF(OR(AND(E24=1,'Ответы учащихся'!T24="SAW"),AND(E24=2,'Ответы учащихся'!T24="OPENED")),1,IF('Ответы учащихся'!T24="N",'Ответы учащихся'!T24,0)),""),"")</f>
        <v>0</v>
      </c>
      <c r="V24" s="98" t="str">
        <f>IF(AND(OR($C24&lt;&gt;"",$D24&lt;&gt;""),$A24=1,$AJ$6="ДА"),IF(A24=1,IF(OR(AND(E24=1,'Ответы учащихся'!U24="WAS"),AND(E24=2,'Ответы учащихся'!U24="TRIED")),1,IF('Ответы учащихся'!U24="N",'Ответы учащихся'!U24,0)),""),"")</f>
        <v>N</v>
      </c>
      <c r="W24" s="98">
        <f>IF(AND(OR($C24&lt;&gt;"",$D24&lt;&gt;""),$A24=1,$AJ$6="ДА"),IF(A24=1,IF(OR(AND(E24=1,'Ответы учащихся'!V24="KNEW"),AND(E24=2,'Ответы учащихся'!V24="SAW")),1,IF('Ответы учащихся'!V24="N",'Ответы учащихся'!V24,0)),""),"")</f>
        <v>1</v>
      </c>
      <c r="X24" s="98">
        <f>IF(AND(OR($C24&lt;&gt;"",$D24&lt;&gt;""),$A24=1,$AJ$6="ДА"),IF(A24=1,IF(OR(AND(E24=1,'Ответы учащихся'!W24="BROKE"),AND(E24=2,'Ответы учащихся'!W24="WENT")),1,IF('Ответы учащихся'!W24="N",'Ответы учащихся'!W24,0)),""),"")</f>
        <v>0</v>
      </c>
      <c r="Y24" s="98" t="str">
        <f>IF(AND(OR($C24&lt;&gt;"",$D24&lt;&gt;""),$A24=1,$AJ$6="ДА"),IF(A24=1,IF(OR(AND(E24=1,'Ответы учащихся'!X24="CAME"),AND(E24=2,'Ответы учащихся'!X24="BEGAN")),1,IF('Ответы учащихся'!X24="N",'Ответы учащихся'!X24,0)),""),"")</f>
        <v>N</v>
      </c>
      <c r="Z24" s="98">
        <f>IF(AND(OR($C24&lt;&gt;"",$D24&lt;&gt;""),$A24=1,$AJ$6="ДА"),IF(A24=1,IF(OR(AND(E24=1,'Ответы учащихся'!Y24="RODE"),AND(E24=2,'Ответы учащихся'!Y24="PUT")),1,IF('Ответы учащихся'!Y24="N",'Ответы учащихся'!Y24,0)),""),"")</f>
        <v>1</v>
      </c>
      <c r="AA24" s="305" t="str">
        <f>IF(AND(OR($C24&lt;&gt;"",$D24&lt;&gt;""),$A24=1,$AJ$6="ДА"),IF(A24=1,IF(OR(AND(E24=1,'Ответы учащихся'!Z24="TOOK"),AND(E24=2,'Ответы учащихся'!Z24="LEFT")),1,IF('Ответы учащихся'!Z24="N",'Ответы учащихся'!Z24,0)),""),"")</f>
        <v>N</v>
      </c>
      <c r="AB24" s="477">
        <f>IF(AND(OR($C24&lt;&gt;"",$D24&lt;&gt;""),$A24=1,$AJ$6="ДА"),IF(OR('Ответы учащихся'!AA24="N",'Ответы учащихся'!AL24="N"),"N",('Ответы учащихся'!AA24+'Ответы учащихся'!AL24)),"")</f>
        <v>0</v>
      </c>
      <c r="AC24" s="310" t="b">
        <f t="shared" si="5"/>
        <v>0</v>
      </c>
      <c r="AD24" s="274" t="b">
        <f t="shared" si="6"/>
        <v>0</v>
      </c>
      <c r="AE24" s="274" t="b">
        <f t="shared" si="7"/>
        <v>0</v>
      </c>
      <c r="AF24" s="274">
        <f t="shared" si="8"/>
        <v>1</v>
      </c>
      <c r="AG24" s="274" t="b">
        <f>IF(OR('Ответы учащихся'!AA24="N",'Ответы учащихся'!AL24="N"),1)</f>
        <v>0</v>
      </c>
      <c r="AH24" s="289">
        <f>IF(AND(OR($C24&lt;&gt;"",$D24&lt;&gt;""),$A24=1,$AJ$6="ДА"),IF(A24=1,IF('Ответы учащихся'!AK24="N",'Ответы учащихся'!AK24,AF24+AG24),""),"")</f>
        <v>1</v>
      </c>
      <c r="AI24" s="461">
        <f t="shared" si="9"/>
        <v>8</v>
      </c>
      <c r="AJ24" s="128">
        <f t="shared" si="10"/>
        <v>0.32</v>
      </c>
      <c r="AK24" s="133">
        <f t="shared" si="11"/>
        <v>4</v>
      </c>
      <c r="AL24" s="269">
        <f t="shared" si="12"/>
        <v>36.363636363636367</v>
      </c>
      <c r="AM24" s="133">
        <f t="shared" si="13"/>
        <v>4</v>
      </c>
      <c r="AN24" s="269">
        <f t="shared" si="14"/>
        <v>28.571428571428569</v>
      </c>
      <c r="AO24" s="435" t="str">
        <f t="shared" si="15"/>
        <v>НИЗКИЙ</v>
      </c>
      <c r="AP24" s="427">
        <f t="shared" si="16"/>
        <v>17.068965517241381</v>
      </c>
      <c r="AQ24" s="182">
        <f t="shared" si="17"/>
        <v>0.6827586206896552</v>
      </c>
      <c r="AR24" s="176">
        <v>6</v>
      </c>
      <c r="AS24" s="181">
        <f t="shared" si="18"/>
        <v>69.905956112852664</v>
      </c>
      <c r="AT24" s="183">
        <f>IF(A24=1,IF(OR(AND(E24=1,'Ответы учащихся'!AB24=0.15),AND(E24=2,'Ответы учащихся'!AB24=-2)),1,IF('Ответы учащихся'!AB24="N",'Ответы учащихся'!AB24,0)),"")</f>
        <v>0</v>
      </c>
      <c r="AU24" s="176">
        <f>IF(A24=1,IF(OR(AND(E24=1,'Ответы учащихся'!AC24="м/с"),AND(E24=2,'Ответы учащихся'!AC24="mV0")),1,IF('Ответы учащихся'!AB24="N",'Ответы учащихся'!AB24,0)),"")</f>
        <v>0</v>
      </c>
      <c r="AV24" s="176">
        <f>IF(A24=1,IF(OR(AND(E24=1,'Ответы учащихся'!AD24=-6),AND(E24=2,'Ответы учащихся'!AD24=-10)),1,IF('Ответы учащихся'!AE24="N",'Ответы учащихся'!AE24,0)),"")</f>
        <v>0</v>
      </c>
      <c r="AW24" s="176">
        <f>IF(A24=1,IF(OR(AND(E24=1,'Ответы учащихся'!AE24="Нм"),AND(E24=2,'Ответы учащихся'!AE24="Нм")),1,IF('Ответы учащихся'!AE24="N",'Ответы учащихся'!AE24,0)),"")</f>
        <v>0</v>
      </c>
      <c r="AX24" s="176">
        <f>IF(A24=1,IF(OR(AND(E24=1,'Ответы учащихся'!AF24=250),AND(E24=2,'Ответы учащихся'!AF24=500)),1,IF('Ответы учащихся'!AF24="N",'Ответы учащихся'!AF24,0)),"")</f>
        <v>0</v>
      </c>
      <c r="AY24" s="176">
        <f>IF(A24=1,IF(OR(AND(E24=1,'Ответы учащихся'!AG24="м"),AND(E24=2,'Ответы учащихся'!AG24="Па")),1,IF('Ответы учащихся'!AF24="N",'Ответы учащихся'!AF24,0)),"")</f>
        <v>0</v>
      </c>
      <c r="AZ24" s="177" t="str">
        <f>IF(E24=1,(IF('Ответы учащихся'!N24=3,1,IF('Ответы учащихся'!N24="N",'Ответы учащихся'!N24,0))),"")</f>
        <v/>
      </c>
      <c r="BA24" s="178" t="str">
        <f>IF(E24=2,IF('Ответы учащихся'!N24=1,1,(IF('Ответы учащихся'!N24="N",'Ответы учащихся'!N24,0))),"")</f>
        <v>N</v>
      </c>
      <c r="BB24" s="179" t="str">
        <f>IF(E24=1,IF('Ответы учащихся'!O24=3,1,IF('Ответы учащихся'!O24="N",'Ответы учащихся'!O24,0)),"")</f>
        <v/>
      </c>
      <c r="BC24" s="178" t="str">
        <f>IF(E24=2,IF('Ответы учащихся'!O24=2,1,IF('Ответы учащихся'!O24="N",'Ответы учащихся'!O24,0)),"")</f>
        <v>N</v>
      </c>
      <c r="BD24" s="179" t="str">
        <f>IF(E24=1,IF('Ответы учащихся'!P24=1,1,IF('Ответы учащихся'!P24="N",'Ответы учащихся'!P24,0)),"")</f>
        <v/>
      </c>
      <c r="BE24" s="178">
        <f>IF(E24=2,IF('Ответы учащихся'!P24=1,1,IF('Ответы учащихся'!P24="N",'Ответы учащихся'!P24,0)),"")</f>
        <v>0</v>
      </c>
      <c r="BF24" s="185">
        <f>SUM(F18:N18)</f>
        <v>62</v>
      </c>
      <c r="BG24" s="176">
        <f>O18+W17+W18+AA16+AA17+AA18</f>
        <v>61</v>
      </c>
      <c r="BH24" s="176">
        <f>R18+S18+T18</f>
        <v>21</v>
      </c>
      <c r="BI24" s="176">
        <f>P18+Q18</f>
        <v>25</v>
      </c>
      <c r="BJ24" s="6"/>
      <c r="BK24" s="6"/>
      <c r="BL24" s="6"/>
      <c r="BM24" s="6"/>
      <c r="BN24" s="6"/>
      <c r="BO24" s="6"/>
    </row>
    <row r="25" spans="1:67" ht="12.75" customHeight="1">
      <c r="A25" s="12">
        <f>IF('СПИСОК КЛАССА'!J25&gt;0,1,0)</f>
        <v>1</v>
      </c>
      <c r="B25" s="313">
        <v>6</v>
      </c>
      <c r="C25" s="314">
        <f>IF(NOT(ISBLANK('СПИСОК КЛАССА'!C25)),'СПИСОК КЛАССА'!C25,"")</f>
        <v>6</v>
      </c>
      <c r="D25" s="314" t="str">
        <f>IF(NOT(ISBLANK('СПИСОК КЛАССА'!D25)),IF($A25=1,'СПИСОК КЛАССА'!D25, "УЧЕНИК НЕ ВЫПОЛНЯЛ РАБОТУ"),"")</f>
        <v>ГРАЧЕВА ЯРОСЛАВА</v>
      </c>
      <c r="E25" s="287">
        <f>IF($C25&lt;&gt;"",'СПИСОК КЛАССА'!J25,"")</f>
        <v>2</v>
      </c>
      <c r="F25" s="441">
        <f>IF(AND(OR($C25&lt;&gt;"",$D25&lt;&gt;""),$A25=1,$AJ$6="ДА"),(IF(A25=1,IF(OR(AND(E25=1,'Ответы учащихся'!E25=1),AND(E25=2,'Ответы учащихся'!E25=3)),1,IF('Ответы учащихся'!E25="N",'Ответы учащихся'!E25,0)),"")),"")</f>
        <v>1</v>
      </c>
      <c r="G25" s="442">
        <f>IF(AND(OR($C25&lt;&gt;"",$D25&lt;&gt;""),$A25=1,$AJ$6="ДА"),(IF(A25=1,IF(OR(AND(E25=1,'Ответы учащихся'!F25=2),AND(E25=2,'Ответы учащихся'!F25=3)),1,IF('Ответы учащихся'!F25="N",'Ответы учащихся'!F25,0)),"")),"")</f>
        <v>1</v>
      </c>
      <c r="H25" s="304">
        <f>IF(AND(OR($C25&lt;&gt;"",$D25&lt;&gt;""),$A25=1,$AJ$6="ДА"),IF(A25=1,IF(OR(AND(E25=1,'Ответы учащихся'!G25="GIRL"),AND(E25=2,'Ответы учащихся'!G25="YEARS")),1,IF('Ответы учащихся'!G25="N",'Ответы учащихся'!G25,0)),""),"")</f>
        <v>1</v>
      </c>
      <c r="I25" s="98">
        <f>IF(AND(OR($C25&lt;&gt;"",$D25&lt;&gt;""),$A25=1,$AJ$6="ДА"),IF(A25=1,IF(OR(AND(E25=1,'Ответы учащихся'!H25="SHOUTED"),AND(E25=2,'Ответы учащихся'!H25="HER")),1,IF('Ответы учащихся'!H25="N",'Ответы учащихся'!H25,0)),""),"")</f>
        <v>1</v>
      </c>
      <c r="J25" s="98">
        <f>IF(AND(OR($C25&lt;&gt;"",$D25&lt;&gt;""),$A25=1,$AJ$6="ДА"),IF(A25=1,IF(OR(AND(E25=1,'Ответы учащихся'!I25="ZOO"),AND(E25=2,'Ответы учащихся'!I25="HUSBAND")),1,IF('Ответы учащихся'!I25="N",'Ответы учащихся'!I25,0)),""),"")</f>
        <v>1</v>
      </c>
      <c r="K25" s="98">
        <f>IF(AND(OR($C25&lt;&gt;"",$D25&lt;&gt;""),$A25=1,$AJ$6="ДА"),IF(A25=1,IF(OR(AND(E25=1,'Ответы учащихся'!J25="AT"),AND(E25=2,'Ответы учащихся'!J25="LIVE")),1,IF('Ответы учащихся'!J25="N",'Ответы учащихся'!J25,0)),""),"")</f>
        <v>1</v>
      </c>
      <c r="L25" s="98">
        <f>IF(AND(OR($C25&lt;&gt;"",$D25&lt;&gt;""),$A25=1,$AJ$6="ДА"),IF(A25=1,IF(OR(AND(E25=1,'Ответы учащихся'!K25="SAID"),AND(E25=2,'Ответы учащихся'!K25="MUCH")),1,IF('Ответы учащихся'!K25="N",'Ответы учащихся'!K25,0)),""),"")</f>
        <v>1</v>
      </c>
      <c r="M25" s="98">
        <f>IF(AND(OR($C25&lt;&gt;"",$D25&lt;&gt;""),$A25=1,$AJ$6="ДА"),IF(A25=1,IF(OR(AND(E25=1,'Ответы учащихся'!L25="MORNING"),AND(E25=2,'Ответы учащихся'!L25="SHEEP")),1,IF('Ответы учащихся'!L25="N",'Ответы учащихся'!L25,0)),""),"")</f>
        <v>1</v>
      </c>
      <c r="N25" s="98">
        <f>IF(AND(OR($C25&lt;&gt;"",$D25&lt;&gt;""),$A25=1,$AJ$6="ДА"),IF(A25=1,IF(OR(AND(E25=1,'Ответы учащихся'!M25="MUCH"),AND(E25=2,'Ответы учащихся'!M25="SELL")),1,IF('Ответы учащихся'!M25="N",'Ответы учащихся'!M25,0)),""),"")</f>
        <v>0</v>
      </c>
      <c r="O25" s="131">
        <f>IF(AND(OR($C25&lt;&gt;"",$D25&lt;&gt;""),$A25=1,$AJ$6="ДА"),IF(A25=1,IF(OR(AND(E25=1,'Ответы учащихся'!N25="LIKE"),AND(E25=2,'Ответы учащихся'!N25="IN")),1,IF('Ответы учащихся'!N25="N",'Ответы учащихся'!N25,0)),""),"")</f>
        <v>1</v>
      </c>
      <c r="P25" s="98">
        <f>IF(AND(OR($C25&lt;&gt;"",$D25&lt;&gt;""),$A25=1,$AJ$6="ДА"),IF(A25=1,IF(OR(AND(E25=1,'Ответы учащихся'!O25="ANIMALS"),AND(E25=2,'Ответы учащихся'!O25="CLOTHES")),1,IF('Ответы учащихся'!O25="N",'Ответы учащихся'!O25,0)),""),"")</f>
        <v>0</v>
      </c>
      <c r="Q25" s="98">
        <f>IF(AND(OR($C25&lt;&gt;"",$D25&lt;&gt;""),$A25=1,$AJ$6="ДА"),IF(A25=1,IF(OR(AND(E25=1,'Ответы учащихся'!P25="WE"),AND(E25=2,'Ответы учащихся'!P25="GOES")),1,IF('Ответы учащихся'!P25="N",'Ответы учащихся'!P25,0)),""),"")</f>
        <v>0</v>
      </c>
      <c r="R25" s="98">
        <f>IF(AND(OR($C25&lt;&gt;"",$D25&lt;&gt;""),$A25=1,$AJ$6="ДА"),IF(A25=1,IF(OR(AND(E25=1,'Ответы учащихся'!Q25="ASKED"),AND(E25=2,'Ответы учащихся'!Q25="MADE")),1,IF('Ответы учащихся'!Q25="N",'Ответы учащихся'!Q25,0)),""),"")</f>
        <v>1</v>
      </c>
      <c r="S25" s="98">
        <f>IF(AND(OR($C25&lt;&gt;"",$D25&lt;&gt;""),$A25=1,$AJ$6="ДА"),IF(A25=1,IF(OR(AND(E25=1,'Ответы учащихся'!R25="LOST"),AND(E25=2,'Ответы учащихся'!R25="GOT")),1,IF('Ответы учащихся'!R25="N",'Ответы учащихся'!R25,0)),""),"")</f>
        <v>1</v>
      </c>
      <c r="T25" s="98">
        <f>IF(AND(OR($C25&lt;&gt;"",$D25&lt;&gt;""),$A25=1,$AJ$6="ДА"),IF(A25=1,IF(OR(AND(E25=1,'Ответы учащихся'!S25="GOT"),AND(E25=2,'Ответы учащихся'!S25="CAME")),1,IF('Ответы учащихся'!S25="N",'Ответы учащихся'!S25,0)),""),"")</f>
        <v>1</v>
      </c>
      <c r="U25" s="98">
        <f>IF(AND(OR($C25&lt;&gt;"",$D25&lt;&gt;""),$A25=1,$AJ$6="ДА"),IF(A25=1,IF(OR(AND(E25=1,'Ответы учащихся'!T25="SAW"),AND(E25=2,'Ответы учащихся'!T25="OPENED")),1,IF('Ответы учащихся'!T25="N",'Ответы учащихся'!T25,0)),""),"")</f>
        <v>1</v>
      </c>
      <c r="V25" s="98">
        <f>IF(AND(OR($C25&lt;&gt;"",$D25&lt;&gt;""),$A25=1,$AJ$6="ДА"),IF(A25=1,IF(OR(AND(E25=1,'Ответы учащихся'!U25="WAS"),AND(E25=2,'Ответы учащихся'!U25="TRIED")),1,IF('Ответы учащихся'!U25="N",'Ответы учащихся'!U25,0)),""),"")</f>
        <v>1</v>
      </c>
      <c r="W25" s="98">
        <f>IF(AND(OR($C25&lt;&gt;"",$D25&lt;&gt;""),$A25=1,$AJ$6="ДА"),IF(A25=1,IF(OR(AND(E25=1,'Ответы учащихся'!V25="KNEW"),AND(E25=2,'Ответы учащихся'!V25="SAW")),1,IF('Ответы учащихся'!V25="N",'Ответы учащихся'!V25,0)),""),"")</f>
        <v>1</v>
      </c>
      <c r="X25" s="98">
        <f>IF(AND(OR($C25&lt;&gt;"",$D25&lt;&gt;""),$A25=1,$AJ$6="ДА"),IF(A25=1,IF(OR(AND(E25=1,'Ответы учащихся'!W25="BROKE"),AND(E25=2,'Ответы учащихся'!W25="WENT")),1,IF('Ответы учащихся'!W25="N",'Ответы учащихся'!W25,0)),""),"")</f>
        <v>0</v>
      </c>
      <c r="Y25" s="98">
        <f>IF(AND(OR($C25&lt;&gt;"",$D25&lt;&gt;""),$A25=1,$AJ$6="ДА"),IF(A25=1,IF(OR(AND(E25=1,'Ответы учащихся'!X25="CAME"),AND(E25=2,'Ответы учащихся'!X25="BEGAN")),1,IF('Ответы учащихся'!X25="N",'Ответы учащихся'!X25,0)),""),"")</f>
        <v>1</v>
      </c>
      <c r="Z25" s="98">
        <f>IF(AND(OR($C25&lt;&gt;"",$D25&lt;&gt;""),$A25=1,$AJ$6="ДА"),IF(A25=1,IF(OR(AND(E25=1,'Ответы учащихся'!Y25="RODE"),AND(E25=2,'Ответы учащихся'!Y25="PUT")),1,IF('Ответы учащихся'!Y25="N",'Ответы учащихся'!Y25,0)),""),"")</f>
        <v>1</v>
      </c>
      <c r="AA25" s="305">
        <f>IF(AND(OR($C25&lt;&gt;"",$D25&lt;&gt;""),$A25=1,$AJ$6="ДА"),IF(A25=1,IF(OR(AND(E25=1,'Ответы учащихся'!Z25="TOOK"),AND(E25=2,'Ответы учащихся'!Z25="LEFT")),1,IF('Ответы учащихся'!Z25="N",'Ответы учащихся'!Z25,0)),""),"")</f>
        <v>1</v>
      </c>
      <c r="AB25" s="477">
        <f>IF(AND(OR($C25&lt;&gt;"",$D25&lt;&gt;""),$A25=1,$AJ$6="ДА"),IF(OR('Ответы учащихся'!AA25="N",'Ответы учащихся'!AL25="N"),"N",('Ответы учащихся'!AA25+'Ответы учащихся'!AL25)),"")</f>
        <v>3</v>
      </c>
      <c r="AC25" s="310" t="b">
        <f t="shared" si="5"/>
        <v>0</v>
      </c>
      <c r="AD25" s="274" t="b">
        <f t="shared" si="6"/>
        <v>0</v>
      </c>
      <c r="AE25" s="274">
        <f t="shared" si="7"/>
        <v>1</v>
      </c>
      <c r="AF25" s="274" t="b">
        <f t="shared" si="8"/>
        <v>0</v>
      </c>
      <c r="AG25" s="274" t="b">
        <f>IF(OR('Ответы учащихся'!AA25="N",'Ответы учащихся'!AL25="N"),1)</f>
        <v>0</v>
      </c>
      <c r="AH25" s="289">
        <f>IF(AND(OR($C25&lt;&gt;"",$D25&lt;&gt;""),$A25=1,$AJ$6="ДА"),IF(A25=1,IF('Ответы учащихся'!AK25="N",'Ответы учащихся'!AK25,AF25+AG25),""),"")</f>
        <v>0</v>
      </c>
      <c r="AI25" s="461">
        <f t="shared" si="9"/>
        <v>21</v>
      </c>
      <c r="AJ25" s="128">
        <f t="shared" si="10"/>
        <v>0.84</v>
      </c>
      <c r="AK25" s="133">
        <f t="shared" si="11"/>
        <v>8</v>
      </c>
      <c r="AL25" s="269">
        <f t="shared" si="12"/>
        <v>72.727272727272734</v>
      </c>
      <c r="AM25" s="133">
        <f t="shared" si="13"/>
        <v>13</v>
      </c>
      <c r="AN25" s="269">
        <f t="shared" si="14"/>
        <v>92.857142857142861</v>
      </c>
      <c r="AO25" s="435" t="str">
        <f t="shared" si="15"/>
        <v>ПОВЫШЕННЫЙ</v>
      </c>
      <c r="AP25" s="427">
        <f t="shared" si="16"/>
        <v>17.068965517241381</v>
      </c>
      <c r="AQ25" s="182">
        <f t="shared" si="17"/>
        <v>0.6827586206896552</v>
      </c>
      <c r="AR25" s="176">
        <v>6</v>
      </c>
      <c r="AS25" s="181">
        <f t="shared" si="18"/>
        <v>69.905956112852664</v>
      </c>
      <c r="AT25" s="183">
        <f>IF(A25=1,IF(OR(AND(E25=1,'Ответы учащихся'!AB25=0.15),AND(E25=2,'Ответы учащихся'!AB25=-2)),1,IF('Ответы учащихся'!AB25="N",'Ответы учащихся'!AB25,0)),"")</f>
        <v>0</v>
      </c>
      <c r="AU25" s="176">
        <f>IF(A25=1,IF(OR(AND(E25=1,'Ответы учащихся'!AC25="м/с"),AND(E25=2,'Ответы учащихся'!AC25="mV0")),1,IF('Ответы учащихся'!AB25="N",'Ответы учащихся'!AB25,0)),"")</f>
        <v>0</v>
      </c>
      <c r="AV25" s="176">
        <f>IF(A25=1,IF(OR(AND(E25=1,'Ответы учащихся'!AD25=-6),AND(E25=2,'Ответы учащихся'!AD25=-10)),1,IF('Ответы учащихся'!AE25="N",'Ответы учащихся'!AE25,0)),"")</f>
        <v>0</v>
      </c>
      <c r="AW25" s="176">
        <f>IF(A25=1,IF(OR(AND(E25=1,'Ответы учащихся'!AE25="Нм"),AND(E25=2,'Ответы учащихся'!AE25="Нм")),1,IF('Ответы учащихся'!AE25="N",'Ответы учащихся'!AE25,0)),"")</f>
        <v>0</v>
      </c>
      <c r="AX25" s="176">
        <f>IF(A25=1,IF(OR(AND(E25=1,'Ответы учащихся'!AF25=250),AND(E25=2,'Ответы учащихся'!AF25=500)),1,IF('Ответы учащихся'!AF25="N",'Ответы учащихся'!AF25,0)),"")</f>
        <v>0</v>
      </c>
      <c r="AY25" s="176">
        <f>IF(A25=1,IF(OR(AND(E25=1,'Ответы учащихся'!AG25="м"),AND(E25=2,'Ответы учащихся'!AG25="Па")),1,IF('Ответы учащихся'!AF25="N",'Ответы учащихся'!AF25,0)),"")</f>
        <v>0</v>
      </c>
      <c r="AZ25" s="177" t="str">
        <f>IF(E25=1,(IF('Ответы учащихся'!N25=3,1,IF('Ответы учащихся'!N25="N",'Ответы учащихся'!N25,0))),"")</f>
        <v/>
      </c>
      <c r="BA25" s="178">
        <f>IF(E25=2,IF('Ответы учащихся'!N25=1,1,(IF('Ответы учащихся'!N25="N",'Ответы учащихся'!N25,0))),"")</f>
        <v>0</v>
      </c>
      <c r="BB25" s="179" t="str">
        <f>IF(E25=1,IF('Ответы учащихся'!O25=3,1,IF('Ответы учащихся'!O25="N",'Ответы учащихся'!O25,0)),"")</f>
        <v/>
      </c>
      <c r="BC25" s="178">
        <f>IF(E25=2,IF('Ответы учащихся'!O25=2,1,IF('Ответы учащихся'!O25="N",'Ответы учащихся'!O25,0)),"")</f>
        <v>0</v>
      </c>
      <c r="BD25" s="179" t="str">
        <f>IF(E25=1,IF('Ответы учащихся'!P25=1,1,IF('Ответы учащихся'!P25="N",'Ответы учащихся'!P25,0)),"")</f>
        <v/>
      </c>
      <c r="BE25" s="178">
        <f>IF(E25=2,IF('Ответы учащихся'!P25=1,1,IF('Ответы учащихся'!P25="N",'Ответы учащихся'!P25,0)),"")</f>
        <v>0</v>
      </c>
      <c r="BF25" s="185">
        <f>SUM(F19:N19)</f>
        <v>2</v>
      </c>
      <c r="BG25" s="176">
        <f>O19+W19+AA19</f>
        <v>8</v>
      </c>
      <c r="BH25" s="176">
        <f>R19+S19+T19</f>
        <v>3</v>
      </c>
      <c r="BI25" s="176">
        <f>P19+Q19</f>
        <v>1</v>
      </c>
      <c r="BJ25" s="6"/>
      <c r="BK25" s="6"/>
      <c r="BL25" s="6"/>
      <c r="BM25" s="6"/>
      <c r="BN25" s="6"/>
      <c r="BO25" s="6"/>
    </row>
    <row r="26" spans="1:67" ht="12.75" customHeight="1">
      <c r="A26" s="12">
        <f>IF('СПИСОК КЛАССА'!J26&gt;0,1,0)</f>
        <v>1</v>
      </c>
      <c r="B26" s="313">
        <v>7</v>
      </c>
      <c r="C26" s="314">
        <f>IF(NOT(ISBLANK('СПИСОК КЛАССА'!C26)),'СПИСОК КЛАССА'!C26,"")</f>
        <v>7</v>
      </c>
      <c r="D26" s="314" t="str">
        <f>IF(NOT(ISBLANK('СПИСОК КЛАССА'!D26)),IF($A26=1,'СПИСОК КЛАССА'!D26, "УЧЕНИК НЕ ВЫПОЛНЯЛ РАБОТУ"),"")</f>
        <v>ДЕМИДОВ ИВАН</v>
      </c>
      <c r="E26" s="287">
        <f>IF($C26&lt;&gt;"",'СПИСОК КЛАССА'!J26,"")</f>
        <v>2</v>
      </c>
      <c r="F26" s="441">
        <f>IF(AND(OR($C26&lt;&gt;"",$D26&lt;&gt;""),$A26=1,$AJ$6="ДА"),(IF(A26=1,IF(OR(AND(E26=1,'Ответы учащихся'!E26=1),AND(E26=2,'Ответы учащихся'!E26=3)),1,IF('Ответы учащихся'!E26="N",'Ответы учащихся'!E26,0)),"")),"")</f>
        <v>1</v>
      </c>
      <c r="G26" s="442">
        <f>IF(AND(OR($C26&lt;&gt;"",$D26&lt;&gt;""),$A26=1,$AJ$6="ДА"),(IF(A26=1,IF(OR(AND(E26=1,'Ответы учащихся'!F26=2),AND(E26=2,'Ответы учащихся'!F26=3)),1,IF('Ответы учащихся'!F26="N",'Ответы учащихся'!F26,0)),"")),"")</f>
        <v>1</v>
      </c>
      <c r="H26" s="304">
        <f>IF(AND(OR($C26&lt;&gt;"",$D26&lt;&gt;""),$A26=1,$AJ$6="ДА"),IF(A26=1,IF(OR(AND(E26=1,'Ответы учащихся'!G26="GIRL"),AND(E26=2,'Ответы учащихся'!G26="YEARS")),1,IF('Ответы учащихся'!G26="N",'Ответы учащихся'!G26,0)),""),"")</f>
        <v>1</v>
      </c>
      <c r="I26" s="98" t="str">
        <f>IF(AND(OR($C26&lt;&gt;"",$D26&lt;&gt;""),$A26=1,$AJ$6="ДА"),IF(A26=1,IF(OR(AND(E26=1,'Ответы учащихся'!H26="SHOUTED"),AND(E26=2,'Ответы учащихся'!H26="HER")),1,IF('Ответы учащихся'!H26="N",'Ответы учащихся'!H26,0)),""),"")</f>
        <v>N</v>
      </c>
      <c r="J26" s="98">
        <f>IF(AND(OR($C26&lt;&gt;"",$D26&lt;&gt;""),$A26=1,$AJ$6="ДА"),IF(A26=1,IF(OR(AND(E26=1,'Ответы учащихся'!I26="ZOO"),AND(E26=2,'Ответы учащихся'!I26="HUSBAND")),1,IF('Ответы учащихся'!I26="N",'Ответы учащихся'!I26,0)),""),"")</f>
        <v>1</v>
      </c>
      <c r="K26" s="98">
        <f>IF(AND(OR($C26&lt;&gt;"",$D26&lt;&gt;""),$A26=1,$AJ$6="ДА"),IF(A26=1,IF(OR(AND(E26=1,'Ответы учащихся'!J26="AT"),AND(E26=2,'Ответы учащихся'!J26="LIVE")),1,IF('Ответы учащихся'!J26="N",'Ответы учащихся'!J26,0)),""),"")</f>
        <v>1</v>
      </c>
      <c r="L26" s="98">
        <f>IF(AND(OR($C26&lt;&gt;"",$D26&lt;&gt;""),$A26=1,$AJ$6="ДА"),IF(A26=1,IF(OR(AND(E26=1,'Ответы учащихся'!K26="SAID"),AND(E26=2,'Ответы учащихся'!K26="MUCH")),1,IF('Ответы учащихся'!K26="N",'Ответы учащихся'!K26,0)),""),"")</f>
        <v>1</v>
      </c>
      <c r="M26" s="98">
        <f>IF(AND(OR($C26&lt;&gt;"",$D26&lt;&gt;""),$A26=1,$AJ$6="ДА"),IF(A26=1,IF(OR(AND(E26=1,'Ответы учащихся'!L26="MORNING"),AND(E26=2,'Ответы учащихся'!L26="SHEEP")),1,IF('Ответы учащихся'!L26="N",'Ответы учащихся'!L26,0)),""),"")</f>
        <v>0</v>
      </c>
      <c r="N26" s="98" t="str">
        <f>IF(AND(OR($C26&lt;&gt;"",$D26&lt;&gt;""),$A26=1,$AJ$6="ДА"),IF(A26=1,IF(OR(AND(E26=1,'Ответы учащихся'!M26="MUCH"),AND(E26=2,'Ответы учащихся'!M26="SELL")),1,IF('Ответы учащихся'!M26="N",'Ответы учащихся'!M26,0)),""),"")</f>
        <v>N</v>
      </c>
      <c r="O26" s="131">
        <f>IF(AND(OR($C26&lt;&gt;"",$D26&lt;&gt;""),$A26=1,$AJ$6="ДА"),IF(A26=1,IF(OR(AND(E26=1,'Ответы учащихся'!N26="LIKE"),AND(E26=2,'Ответы учащихся'!N26="IN")),1,IF('Ответы учащихся'!N26="N",'Ответы учащихся'!N26,0)),""),"")</f>
        <v>1</v>
      </c>
      <c r="P26" s="98">
        <f>IF(AND(OR($C26&lt;&gt;"",$D26&lt;&gt;""),$A26=1,$AJ$6="ДА"),IF(A26=1,IF(OR(AND(E26=1,'Ответы учащихся'!O26="ANIMALS"),AND(E26=2,'Ответы учащихся'!O26="CLOTHES")),1,IF('Ответы учащихся'!O26="N",'Ответы учащихся'!O26,0)),""),"")</f>
        <v>0</v>
      </c>
      <c r="Q26" s="98">
        <f>IF(AND(OR($C26&lt;&gt;"",$D26&lt;&gt;""),$A26=1,$AJ$6="ДА"),IF(A26=1,IF(OR(AND(E26=1,'Ответы учащихся'!P26="WE"),AND(E26=2,'Ответы учащихся'!P26="GOES")),1,IF('Ответы учащихся'!P26="N",'Ответы учащихся'!P26,0)),""),"")</f>
        <v>0</v>
      </c>
      <c r="R26" s="98">
        <f>IF(AND(OR($C26&lt;&gt;"",$D26&lt;&gt;""),$A26=1,$AJ$6="ДА"),IF(A26=1,IF(OR(AND(E26=1,'Ответы учащихся'!Q26="ASKED"),AND(E26=2,'Ответы учащихся'!Q26="MADE")),1,IF('Ответы учащихся'!Q26="N",'Ответы учащихся'!Q26,0)),""),"")</f>
        <v>0</v>
      </c>
      <c r="S26" s="98">
        <f>IF(AND(OR($C26&lt;&gt;"",$D26&lt;&gt;""),$A26=1,$AJ$6="ДА"),IF(A26=1,IF(OR(AND(E26=1,'Ответы учащихся'!R26="LOST"),AND(E26=2,'Ответы учащихся'!R26="GOT")),1,IF('Ответы учащихся'!R26="N",'Ответы учащихся'!R26,0)),""),"")</f>
        <v>0</v>
      </c>
      <c r="T26" s="98">
        <f>IF(AND(OR($C26&lt;&gt;"",$D26&lt;&gt;""),$A26=1,$AJ$6="ДА"),IF(A26=1,IF(OR(AND(E26=1,'Ответы учащихся'!S26="GOT"),AND(E26=2,'Ответы учащихся'!S26="CAME")),1,IF('Ответы учащихся'!S26="N",'Ответы учащихся'!S26,0)),""),"")</f>
        <v>0</v>
      </c>
      <c r="U26" s="98">
        <f>IF(AND(OR($C26&lt;&gt;"",$D26&lt;&gt;""),$A26=1,$AJ$6="ДА"),IF(A26=1,IF(OR(AND(E26=1,'Ответы учащихся'!T26="SAW"),AND(E26=2,'Ответы учащихся'!T26="OPENED")),1,IF('Ответы учащихся'!T26="N",'Ответы учащихся'!T26,0)),""),"")</f>
        <v>0</v>
      </c>
      <c r="V26" s="98">
        <f>IF(AND(OR($C26&lt;&gt;"",$D26&lt;&gt;""),$A26=1,$AJ$6="ДА"),IF(A26=1,IF(OR(AND(E26=1,'Ответы учащихся'!U26="WAS"),AND(E26=2,'Ответы учащихся'!U26="TRIED")),1,IF('Ответы учащихся'!U26="N",'Ответы учащихся'!U26,0)),""),"")</f>
        <v>0</v>
      </c>
      <c r="W26" s="98">
        <f>IF(AND(OR($C26&lt;&gt;"",$D26&lt;&gt;""),$A26=1,$AJ$6="ДА"),IF(A26=1,IF(OR(AND(E26=1,'Ответы учащихся'!V26="KNEW"),AND(E26=2,'Ответы учащихся'!V26="SAW")),1,IF('Ответы учащихся'!V26="N",'Ответы учащихся'!V26,0)),""),"")</f>
        <v>0</v>
      </c>
      <c r="X26" s="98">
        <f>IF(AND(OR($C26&lt;&gt;"",$D26&lt;&gt;""),$A26=1,$AJ$6="ДА"),IF(A26=1,IF(OR(AND(E26=1,'Ответы учащихся'!W26="BROKE"),AND(E26=2,'Ответы учащихся'!W26="WENT")),1,IF('Ответы учащихся'!W26="N",'Ответы учащихся'!W26,0)),""),"")</f>
        <v>0</v>
      </c>
      <c r="Y26" s="98">
        <f>IF(AND(OR($C26&lt;&gt;"",$D26&lt;&gt;""),$A26=1,$AJ$6="ДА"),IF(A26=1,IF(OR(AND(E26=1,'Ответы учащихся'!X26="CAME"),AND(E26=2,'Ответы учащихся'!X26="BEGAN")),1,IF('Ответы учащихся'!X26="N",'Ответы учащихся'!X26,0)),""),"")</f>
        <v>0</v>
      </c>
      <c r="Z26" s="98">
        <f>IF(AND(OR($C26&lt;&gt;"",$D26&lt;&gt;""),$A26=1,$AJ$6="ДА"),IF(A26=1,IF(OR(AND(E26=1,'Ответы учащихся'!Y26="RODE"),AND(E26=2,'Ответы учащихся'!Y26="PUT")),1,IF('Ответы учащихся'!Y26="N",'Ответы учащихся'!Y26,0)),""),"")</f>
        <v>1</v>
      </c>
      <c r="AA26" s="305">
        <f>IF(AND(OR($C26&lt;&gt;"",$D26&lt;&gt;""),$A26=1,$AJ$6="ДА"),IF(A26=1,IF(OR(AND(E26=1,'Ответы учащихся'!Z26="TOOK"),AND(E26=2,'Ответы учащихся'!Z26="LEFT")),1,IF('Ответы учащихся'!Z26="N",'Ответы учащихся'!Z26,0)),""),"")</f>
        <v>0</v>
      </c>
      <c r="AB26" s="477">
        <f>IF(AND(OR($C26&lt;&gt;"",$D26&lt;&gt;""),$A26=1,$AJ$6="ДА"),IF(OR('Ответы учащихся'!AA26="N",'Ответы учащихся'!AL26="N"),"N",('Ответы учащихся'!AA26+'Ответы учащихся'!AL26)),"")</f>
        <v>0</v>
      </c>
      <c r="AC26" s="310" t="b">
        <f t="shared" si="5"/>
        <v>0</v>
      </c>
      <c r="AD26" s="274" t="b">
        <f t="shared" si="6"/>
        <v>0</v>
      </c>
      <c r="AE26" s="274" t="b">
        <f t="shared" si="7"/>
        <v>0</v>
      </c>
      <c r="AF26" s="274">
        <f t="shared" si="8"/>
        <v>1</v>
      </c>
      <c r="AG26" s="274" t="b">
        <f>IF(OR('Ответы учащихся'!AA26="N",'Ответы учащихся'!AL26="N"),1)</f>
        <v>0</v>
      </c>
      <c r="AH26" s="289">
        <f>IF(AND(OR($C26&lt;&gt;"",$D26&lt;&gt;""),$A26=1,$AJ$6="ДА"),IF(A26=1,IF('Ответы учащихся'!AK26="N",'Ответы учащихся'!AK26,AF26+AG26),""),"")</f>
        <v>1</v>
      </c>
      <c r="AI26" s="461">
        <f t="shared" si="9"/>
        <v>8</v>
      </c>
      <c r="AJ26" s="128">
        <f t="shared" si="10"/>
        <v>0.32</v>
      </c>
      <c r="AK26" s="133">
        <f t="shared" si="11"/>
        <v>6</v>
      </c>
      <c r="AL26" s="269">
        <f t="shared" si="12"/>
        <v>54.54545454545454</v>
      </c>
      <c r="AM26" s="133">
        <f t="shared" si="13"/>
        <v>2</v>
      </c>
      <c r="AN26" s="269">
        <f t="shared" si="14"/>
        <v>14.285714285714285</v>
      </c>
      <c r="AO26" s="435" t="str">
        <f t="shared" si="15"/>
        <v>НИЗКИЙ</v>
      </c>
      <c r="AP26" s="427">
        <f t="shared" si="16"/>
        <v>17.068965517241381</v>
      </c>
      <c r="AQ26" s="182">
        <f t="shared" si="17"/>
        <v>0.6827586206896552</v>
      </c>
      <c r="AR26" s="176">
        <v>6</v>
      </c>
      <c r="AS26" s="181">
        <f t="shared" si="18"/>
        <v>69.905956112852664</v>
      </c>
      <c r="AT26" s="183">
        <f>IF(A26=1,IF(OR(AND(E26=1,'Ответы учащихся'!AB26=0.15),AND(E26=2,'Ответы учащихся'!AB26=-2)),1,IF('Ответы учащихся'!AB26="N",'Ответы учащихся'!AB26,0)),"")</f>
        <v>0</v>
      </c>
      <c r="AU26" s="176">
        <f>IF(A26=1,IF(OR(AND(E26=1,'Ответы учащихся'!AC26="м/с"),AND(E26=2,'Ответы учащихся'!AC26="mV0")),1,IF('Ответы учащихся'!AB26="N",'Ответы учащихся'!AB26,0)),"")</f>
        <v>0</v>
      </c>
      <c r="AV26" s="176">
        <f>IF(A26=1,IF(OR(AND(E26=1,'Ответы учащихся'!AD26=-6),AND(E26=2,'Ответы учащихся'!AD26=-10)),1,IF('Ответы учащихся'!AE26="N",'Ответы учащихся'!AE26,0)),"")</f>
        <v>0</v>
      </c>
      <c r="AW26" s="176">
        <f>IF(A26=1,IF(OR(AND(E26=1,'Ответы учащихся'!AE26="Нм"),AND(E26=2,'Ответы учащихся'!AE26="Нм")),1,IF('Ответы учащихся'!AE26="N",'Ответы учащихся'!AE26,0)),"")</f>
        <v>0</v>
      </c>
      <c r="AX26" s="176">
        <f>IF(A26=1,IF(OR(AND(E26=1,'Ответы учащихся'!AF26=250),AND(E26=2,'Ответы учащихся'!AF26=500)),1,IF('Ответы учащихся'!AF26="N",'Ответы учащихся'!AF26,0)),"")</f>
        <v>0</v>
      </c>
      <c r="AY26" s="176">
        <f>IF(A26=1,IF(OR(AND(E26=1,'Ответы учащихся'!AG26="м"),AND(E26=2,'Ответы учащихся'!AG26="Па")),1,IF('Ответы учащихся'!AF26="N",'Ответы учащихся'!AF26,0)),"")</f>
        <v>0</v>
      </c>
      <c r="AZ26" s="177" t="str">
        <f>IF(E26=1,(IF('Ответы учащихся'!N26=3,1,IF('Ответы учащихся'!N26="N",'Ответы учащихся'!N26,0))),"")</f>
        <v/>
      </c>
      <c r="BA26" s="178">
        <f>IF(E26=2,IF('Ответы учащихся'!N26=1,1,(IF('Ответы учащихся'!N26="N",'Ответы учащихся'!N26,0))),"")</f>
        <v>0</v>
      </c>
      <c r="BB26" s="179" t="str">
        <f>IF(E26=1,IF('Ответы учащихся'!O26=3,1,IF('Ответы учащихся'!O26="N",'Ответы учащихся'!O26,0)),"")</f>
        <v/>
      </c>
      <c r="BC26" s="178">
        <f>IF(E26=2,IF('Ответы учащихся'!O26=2,1,IF('Ответы учащихся'!O26="N",'Ответы учащихся'!O26,0)),"")</f>
        <v>0</v>
      </c>
      <c r="BD26" s="179" t="str">
        <f>IF(E26=1,IF('Ответы учащихся'!P26=1,1,IF('Ответы учащихся'!P26="N",'Ответы учащихся'!P26,0)),"")</f>
        <v/>
      </c>
      <c r="BE26" s="178">
        <f>IF(E26=2,IF('Ответы учащихся'!P26=1,1,IF('Ответы учащихся'!P26="N",'Ответы учащихся'!P26,0)),"")</f>
        <v>0</v>
      </c>
      <c r="BF26" s="176"/>
      <c r="BG26" s="176"/>
      <c r="BH26" s="176"/>
      <c r="BI26" s="176"/>
      <c r="BJ26" s="6"/>
      <c r="BK26" s="6"/>
      <c r="BL26" s="6"/>
      <c r="BM26" s="6"/>
      <c r="BN26" s="6"/>
      <c r="BO26" s="6"/>
    </row>
    <row r="27" spans="1:67" ht="12.75" customHeight="1">
      <c r="A27" s="12">
        <f>IF('СПИСОК КЛАССА'!J27&gt;0,1,0)</f>
        <v>1</v>
      </c>
      <c r="B27" s="313">
        <v>8</v>
      </c>
      <c r="C27" s="314">
        <f>IF(NOT(ISBLANK('СПИСОК КЛАССА'!C27)),'СПИСОК КЛАССА'!C27,"")</f>
        <v>8</v>
      </c>
      <c r="D27" s="314" t="str">
        <f>IF(NOT(ISBLANK('СПИСОК КЛАССА'!D27)),IF($A27=1,'СПИСОК КЛАССА'!D27, "УЧЕНИК НЕ ВЫПОЛНЯЛ РАБОТУ"),"")</f>
        <v>ДМИТРИЕВА АРИНА</v>
      </c>
      <c r="E27" s="287">
        <f>IF($C27&lt;&gt;"",'СПИСОК КЛАССА'!J27,"")</f>
        <v>1</v>
      </c>
      <c r="F27" s="441">
        <f>IF(AND(OR($C27&lt;&gt;"",$D27&lt;&gt;""),$A27=1,$AJ$6="ДА"),(IF(A27=1,IF(OR(AND(E27=1,'Ответы учащихся'!E27=1),AND(E27=2,'Ответы учащихся'!E27=3)),1,IF('Ответы учащихся'!E27="N",'Ответы учащихся'!E27,0)),"")),"")</f>
        <v>1</v>
      </c>
      <c r="G27" s="442">
        <f>IF(AND(OR($C27&lt;&gt;"",$D27&lt;&gt;""),$A27=1,$AJ$6="ДА"),(IF(A27=1,IF(OR(AND(E27=1,'Ответы учащихся'!F27=2),AND(E27=2,'Ответы учащихся'!F27=3)),1,IF('Ответы учащихся'!F27="N",'Ответы учащихся'!F27,0)),"")),"")</f>
        <v>1</v>
      </c>
      <c r="H27" s="304">
        <f>IF(AND(OR($C27&lt;&gt;"",$D27&lt;&gt;""),$A27=1,$AJ$6="ДА"),IF(A27=1,IF(OR(AND(E27=1,'Ответы учащихся'!G27="GIRL"),AND(E27=2,'Ответы учащихся'!G27="YEARS")),1,IF('Ответы учащихся'!G27="N",'Ответы учащихся'!G27,0)),""),"")</f>
        <v>1</v>
      </c>
      <c r="I27" s="98">
        <f>IF(AND(OR($C27&lt;&gt;"",$D27&lt;&gt;""),$A27=1,$AJ$6="ДА"),IF(A27=1,IF(OR(AND(E27=1,'Ответы учащихся'!H27="SHOUTED"),AND(E27=2,'Ответы учащихся'!H27="HER")),1,IF('Ответы учащихся'!H27="N",'Ответы учащихся'!H27,0)),""),"")</f>
        <v>1</v>
      </c>
      <c r="J27" s="98">
        <f>IF(AND(OR($C27&lt;&gt;"",$D27&lt;&gt;""),$A27=1,$AJ$6="ДА"),IF(A27=1,IF(OR(AND(E27=1,'Ответы учащихся'!I27="ZOO"),AND(E27=2,'Ответы учащихся'!I27="HUSBAND")),1,IF('Ответы учащихся'!I27="N",'Ответы учащихся'!I27,0)),""),"")</f>
        <v>0</v>
      </c>
      <c r="K27" s="98">
        <f>IF(AND(OR($C27&lt;&gt;"",$D27&lt;&gt;""),$A27=1,$AJ$6="ДА"),IF(A27=1,IF(OR(AND(E27=1,'Ответы учащихся'!J27="AT"),AND(E27=2,'Ответы учащихся'!J27="LIVE")),1,IF('Ответы учащихся'!J27="N",'Ответы учащихся'!J27,0)),""),"")</f>
        <v>1</v>
      </c>
      <c r="L27" s="98">
        <f>IF(AND(OR($C27&lt;&gt;"",$D27&lt;&gt;""),$A27=1,$AJ$6="ДА"),IF(A27=1,IF(OR(AND(E27=1,'Ответы учащихся'!K27="SAID"),AND(E27=2,'Ответы учащихся'!K27="MUCH")),1,IF('Ответы учащихся'!K27="N",'Ответы учащихся'!K27,0)),""),"")</f>
        <v>0</v>
      </c>
      <c r="M27" s="98">
        <f>IF(AND(OR($C27&lt;&gt;"",$D27&lt;&gt;""),$A27=1,$AJ$6="ДА"),IF(A27=1,IF(OR(AND(E27=1,'Ответы учащихся'!L27="MORNING"),AND(E27=2,'Ответы учащихся'!L27="SHEEP")),1,IF('Ответы учащихся'!L27="N",'Ответы учащихся'!L27,0)),""),"")</f>
        <v>1</v>
      </c>
      <c r="N27" s="98">
        <f>IF(AND(OR($C27&lt;&gt;"",$D27&lt;&gt;""),$A27=1,$AJ$6="ДА"),IF(A27=1,IF(OR(AND(E27=1,'Ответы учащихся'!M27="MUCH"),AND(E27=2,'Ответы учащихся'!M27="SELL")),1,IF('Ответы учащихся'!M27="N",'Ответы учащихся'!M27,0)),""),"")</f>
        <v>1</v>
      </c>
      <c r="O27" s="131">
        <f>IF(AND(OR($C27&lt;&gt;"",$D27&lt;&gt;""),$A27=1,$AJ$6="ДА"),IF(A27=1,IF(OR(AND(E27=1,'Ответы учащихся'!N27="LIKE"),AND(E27=2,'Ответы учащихся'!N27="IN")),1,IF('Ответы учащихся'!N27="N",'Ответы учащихся'!N27,0)),""),"")</f>
        <v>1</v>
      </c>
      <c r="P27" s="98">
        <f>IF(AND(OR($C27&lt;&gt;"",$D27&lt;&gt;""),$A27=1,$AJ$6="ДА"),IF(A27=1,IF(OR(AND(E27=1,'Ответы учащихся'!O27="ANIMALS"),AND(E27=2,'Ответы учащихся'!O27="CLOTHES")),1,IF('Ответы учащихся'!O27="N",'Ответы учащихся'!O27,0)),""),"")</f>
        <v>1</v>
      </c>
      <c r="Q27" s="98">
        <f>IF(AND(OR($C27&lt;&gt;"",$D27&lt;&gt;""),$A27=1,$AJ$6="ДА"),IF(A27=1,IF(OR(AND(E27=1,'Ответы учащихся'!P27="WE"),AND(E27=2,'Ответы учащихся'!P27="GOES")),1,IF('Ответы учащихся'!P27="N",'Ответы учащихся'!P27,0)),""),"")</f>
        <v>0</v>
      </c>
      <c r="R27" s="98">
        <f>IF(AND(OR($C27&lt;&gt;"",$D27&lt;&gt;""),$A27=1,$AJ$6="ДА"),IF(A27=1,IF(OR(AND(E27=1,'Ответы учащихся'!Q27="ASKED"),AND(E27=2,'Ответы учащихся'!Q27="MADE")),1,IF('Ответы учащихся'!Q27="N",'Ответы учащихся'!Q27,0)),""),"")</f>
        <v>1</v>
      </c>
      <c r="S27" s="98">
        <f>IF(AND(OR($C27&lt;&gt;"",$D27&lt;&gt;""),$A27=1,$AJ$6="ДА"),IF(A27=1,IF(OR(AND(E27=1,'Ответы учащихся'!R27="LOST"),AND(E27=2,'Ответы учащихся'!R27="GOT")),1,IF('Ответы учащихся'!R27="N",'Ответы учащихся'!R27,0)),""),"")</f>
        <v>0</v>
      </c>
      <c r="T27" s="98">
        <f>IF(AND(OR($C27&lt;&gt;"",$D27&lt;&gt;""),$A27=1,$AJ$6="ДА"),IF(A27=1,IF(OR(AND(E27=1,'Ответы учащихся'!S27="GOT"),AND(E27=2,'Ответы учащихся'!S27="CAME")),1,IF('Ответы учащихся'!S27="N",'Ответы учащихся'!S27,0)),""),"")</f>
        <v>1</v>
      </c>
      <c r="U27" s="98">
        <f>IF(AND(OR($C27&lt;&gt;"",$D27&lt;&gt;""),$A27=1,$AJ$6="ДА"),IF(A27=1,IF(OR(AND(E27=1,'Ответы учащихся'!T27="SAW"),AND(E27=2,'Ответы учащихся'!T27="OPENED")),1,IF('Ответы учащихся'!T27="N",'Ответы учащихся'!T27,0)),""),"")</f>
        <v>1</v>
      </c>
      <c r="V27" s="98">
        <f>IF(AND(OR($C27&lt;&gt;"",$D27&lt;&gt;""),$A27=1,$AJ$6="ДА"),IF(A27=1,IF(OR(AND(E27=1,'Ответы учащихся'!U27="WAS"),AND(E27=2,'Ответы учащихся'!U27="TRIED")),1,IF('Ответы учащихся'!U27="N",'Ответы учащихся'!U27,0)),""),"")</f>
        <v>1</v>
      </c>
      <c r="W27" s="98">
        <f>IF(AND(OR($C27&lt;&gt;"",$D27&lt;&gt;""),$A27=1,$AJ$6="ДА"),IF(A27=1,IF(OR(AND(E27=1,'Ответы учащихся'!V27="KNEW"),AND(E27=2,'Ответы учащихся'!V27="SAW")),1,IF('Ответы учащихся'!V27="N",'Ответы учащихся'!V27,0)),""),"")</f>
        <v>1</v>
      </c>
      <c r="X27" s="98">
        <f>IF(AND(OR($C27&lt;&gt;"",$D27&lt;&gt;""),$A27=1,$AJ$6="ДА"),IF(A27=1,IF(OR(AND(E27=1,'Ответы учащихся'!W27="BROKE"),AND(E27=2,'Ответы учащихся'!W27="WENT")),1,IF('Ответы учащихся'!W27="N",'Ответы учащихся'!W27,0)),""),"")</f>
        <v>0</v>
      </c>
      <c r="Y27" s="98">
        <f>IF(AND(OR($C27&lt;&gt;"",$D27&lt;&gt;""),$A27=1,$AJ$6="ДА"),IF(A27=1,IF(OR(AND(E27=1,'Ответы учащихся'!X27="CAME"),AND(E27=2,'Ответы учащихся'!X27="BEGAN")),1,IF('Ответы учащихся'!X27="N",'Ответы учащихся'!X27,0)),""),"")</f>
        <v>1</v>
      </c>
      <c r="Z27" s="98">
        <f>IF(AND(OR($C27&lt;&gt;"",$D27&lt;&gt;""),$A27=1,$AJ$6="ДА"),IF(A27=1,IF(OR(AND(E27=1,'Ответы учащихся'!Y27="RODE"),AND(E27=2,'Ответы учащихся'!Y27="PUT")),1,IF('Ответы учащихся'!Y27="N",'Ответы учащихся'!Y27,0)),""),"")</f>
        <v>1</v>
      </c>
      <c r="AA27" s="305">
        <f>IF(AND(OR($C27&lt;&gt;"",$D27&lt;&gt;""),$A27=1,$AJ$6="ДА"),IF(A27=1,IF(OR(AND(E27=1,'Ответы учащихся'!Z27="TOOK"),AND(E27=2,'Ответы учащихся'!Z27="LEFT")),1,IF('Ответы учащихся'!Z27="N",'Ответы учащихся'!Z27,0)),""),"")</f>
        <v>1</v>
      </c>
      <c r="AB27" s="477">
        <f>IF(AND(OR($C27&lt;&gt;"",$D27&lt;&gt;""),$A27=1,$AJ$6="ДА"),IF(OR('Ответы учащихся'!AA27="N",'Ответы учащихся'!AL27="N"),"N",('Ответы учащихся'!AA27+'Ответы учащихся'!AL27)),"")</f>
        <v>2</v>
      </c>
      <c r="AC27" s="310" t="b">
        <f t="shared" si="5"/>
        <v>0</v>
      </c>
      <c r="AD27" s="274">
        <f t="shared" si="6"/>
        <v>1</v>
      </c>
      <c r="AE27" s="274" t="b">
        <f t="shared" si="7"/>
        <v>0</v>
      </c>
      <c r="AF27" s="274" t="b">
        <f t="shared" si="8"/>
        <v>0</v>
      </c>
      <c r="AG27" s="274" t="b">
        <f>IF(OR('Ответы учащихся'!AA27="N",'Ответы учащихся'!AL27="N"),1)</f>
        <v>0</v>
      </c>
      <c r="AH27" s="289">
        <f>IF(AND(OR($C27&lt;&gt;"",$D27&lt;&gt;""),$A27=1,$AJ$6="ДА"),IF(A27=1,IF('Ответы учащихся'!AK27="N",'Ответы учащихся'!AK27,AF27+AG27),""),"")</f>
        <v>0</v>
      </c>
      <c r="AI27" s="461">
        <f t="shared" si="9"/>
        <v>19</v>
      </c>
      <c r="AJ27" s="128">
        <f t="shared" si="10"/>
        <v>0.76</v>
      </c>
      <c r="AK27" s="133">
        <f t="shared" si="11"/>
        <v>8</v>
      </c>
      <c r="AL27" s="269">
        <f t="shared" si="12"/>
        <v>72.727272727272734</v>
      </c>
      <c r="AM27" s="133">
        <f t="shared" si="13"/>
        <v>11</v>
      </c>
      <c r="AN27" s="269">
        <f t="shared" si="14"/>
        <v>78.571428571428569</v>
      </c>
      <c r="AO27" s="435" t="str">
        <f t="shared" si="15"/>
        <v>ПОВЫШЕННЫЙ</v>
      </c>
      <c r="AP27" s="427">
        <f t="shared" si="16"/>
        <v>17.068965517241381</v>
      </c>
      <c r="AQ27" s="182">
        <f t="shared" si="17"/>
        <v>0.6827586206896552</v>
      </c>
      <c r="AR27" s="176">
        <v>6</v>
      </c>
      <c r="AS27" s="181">
        <f t="shared" si="18"/>
        <v>69.905956112852664</v>
      </c>
      <c r="AT27" s="183">
        <f>IF(A27=1,IF(OR(AND(E27=1,'Ответы учащихся'!AB27=0.15),AND(E27=2,'Ответы учащихся'!AB27=-2)),1,IF('Ответы учащихся'!AB27="N",'Ответы учащихся'!AB27,0)),"")</f>
        <v>0</v>
      </c>
      <c r="AU27" s="176">
        <f>IF(A27=1,IF(OR(AND(E27=1,'Ответы учащихся'!AC27="м/с"),AND(E27=2,'Ответы учащихся'!AC27="mV0")),1,IF('Ответы учащихся'!AB27="N",'Ответы учащихся'!AB27,0)),"")</f>
        <v>0</v>
      </c>
      <c r="AV27" s="176">
        <f>IF(A27=1,IF(OR(AND(E27=1,'Ответы учащихся'!AD27=-6),AND(E27=2,'Ответы учащихся'!AD27=-10)),1,IF('Ответы учащихся'!AE27="N",'Ответы учащихся'!AE27,0)),"")</f>
        <v>0</v>
      </c>
      <c r="AW27" s="176">
        <f>IF(A27=1,IF(OR(AND(E27=1,'Ответы учащихся'!AE27="Нм"),AND(E27=2,'Ответы учащихся'!AE27="Нм")),1,IF('Ответы учащихся'!AE27="N",'Ответы учащихся'!AE27,0)),"")</f>
        <v>0</v>
      </c>
      <c r="AX27" s="176">
        <f>IF(A27=1,IF(OR(AND(E27=1,'Ответы учащихся'!AF27=250),AND(E27=2,'Ответы учащихся'!AF27=500)),1,IF('Ответы учащихся'!AF27="N",'Ответы учащихся'!AF27,0)),"")</f>
        <v>0</v>
      </c>
      <c r="AY27" s="176">
        <f>IF(A27=1,IF(OR(AND(E27=1,'Ответы учащихся'!AG27="м"),AND(E27=2,'Ответы учащихся'!AG27="Па")),1,IF('Ответы учащихся'!AF27="N",'Ответы учащихся'!AF27,0)),"")</f>
        <v>0</v>
      </c>
      <c r="AZ27" s="177">
        <f>IF(E27=1,(IF('Ответы учащихся'!N27=3,1,IF('Ответы учащихся'!N27="N",'Ответы учащихся'!N27,0))),"")</f>
        <v>0</v>
      </c>
      <c r="BA27" s="178" t="str">
        <f>IF(E27=2,IF('Ответы учащихся'!N27=1,1,(IF('Ответы учащихся'!N27="N",'Ответы учащихся'!N27,0))),"")</f>
        <v/>
      </c>
      <c r="BB27" s="179">
        <f>IF(E27=1,IF('Ответы учащихся'!O27=3,1,IF('Ответы учащихся'!O27="N",'Ответы учащихся'!O27,0)),"")</f>
        <v>0</v>
      </c>
      <c r="BC27" s="178" t="str">
        <f>IF(E27=2,IF('Ответы учащихся'!O27=2,1,IF('Ответы учащихся'!O27="N",'Ответы учащихся'!O27,0)),"")</f>
        <v/>
      </c>
      <c r="BD27" s="179">
        <f>IF(E27=1,IF('Ответы учащихся'!P27=1,1,IF('Ответы учащихся'!P27="N",'Ответы учащихся'!P27,0)),"")</f>
        <v>0</v>
      </c>
      <c r="BE27" s="178" t="str">
        <f>IF(E27=2,IF('Ответы учащихся'!P27=1,1,IF('Ответы учащихся'!P27="N",'Ответы учащихся'!P27,0)),"")</f>
        <v/>
      </c>
      <c r="BF27" s="176"/>
      <c r="BG27" s="176"/>
      <c r="BH27" s="176"/>
      <c r="BI27" s="176"/>
      <c r="BJ27" s="6"/>
      <c r="BK27" s="6"/>
      <c r="BL27" s="6"/>
      <c r="BM27" s="6"/>
      <c r="BN27" s="6"/>
      <c r="BO27" s="6"/>
    </row>
    <row r="28" spans="1:67" ht="12.75" customHeight="1">
      <c r="A28" s="12">
        <f>IF('СПИСОК КЛАССА'!J28&gt;0,1,0)</f>
        <v>1</v>
      </c>
      <c r="B28" s="313">
        <v>9</v>
      </c>
      <c r="C28" s="314">
        <f>IF(NOT(ISBLANK('СПИСОК КЛАССА'!C28)),'СПИСОК КЛАССА'!C28,"")</f>
        <v>9</v>
      </c>
      <c r="D28" s="314" t="str">
        <f>IF(NOT(ISBLANK('СПИСОК КЛАССА'!D28)),IF($A28=1,'СПИСОК КЛАССА'!D28, "УЧЕНИК НЕ ВЫПОЛНЯЛ РАБОТУ"),"")</f>
        <v>ЖУК ВЛАДИМИР</v>
      </c>
      <c r="E28" s="287">
        <f>IF($C28&lt;&gt;"",'СПИСОК КЛАССА'!J28,"")</f>
        <v>2</v>
      </c>
      <c r="F28" s="441">
        <f>IF(AND(OR($C28&lt;&gt;"",$D28&lt;&gt;""),$A28=1,$AJ$6="ДА"),(IF(A28=1,IF(OR(AND(E28=1,'Ответы учащихся'!E28=1),AND(E28=2,'Ответы учащихся'!E28=3)),1,IF('Ответы учащихся'!E28="N",'Ответы учащихся'!E28,0)),"")),"")</f>
        <v>1</v>
      </c>
      <c r="G28" s="442">
        <f>IF(AND(OR($C28&lt;&gt;"",$D28&lt;&gt;""),$A28=1,$AJ$6="ДА"),(IF(A28=1,IF(OR(AND(E28=1,'Ответы учащихся'!F28=2),AND(E28=2,'Ответы учащихся'!F28=3)),1,IF('Ответы учащихся'!F28="N",'Ответы учащихся'!F28,0)),"")),"")</f>
        <v>1</v>
      </c>
      <c r="H28" s="304">
        <f>IF(AND(OR($C28&lt;&gt;"",$D28&lt;&gt;""),$A28=1,$AJ$6="ДА"),IF(A28=1,IF(OR(AND(E28=1,'Ответы учащихся'!G28="GIRL"),AND(E28=2,'Ответы учащихся'!G28="YEARS")),1,IF('Ответы учащихся'!G28="N",'Ответы учащихся'!G28,0)),""),"")</f>
        <v>1</v>
      </c>
      <c r="I28" s="98">
        <f>IF(AND(OR($C28&lt;&gt;"",$D28&lt;&gt;""),$A28=1,$AJ$6="ДА"),IF(A28=1,IF(OR(AND(E28=1,'Ответы учащихся'!H28="SHOUTED"),AND(E28=2,'Ответы учащихся'!H28="HER")),1,IF('Ответы учащихся'!H28="N",'Ответы учащихся'!H28,0)),""),"")</f>
        <v>1</v>
      </c>
      <c r="J28" s="98">
        <f>IF(AND(OR($C28&lt;&gt;"",$D28&lt;&gt;""),$A28=1,$AJ$6="ДА"),IF(A28=1,IF(OR(AND(E28=1,'Ответы учащихся'!I28="ZOO"),AND(E28=2,'Ответы учащихся'!I28="HUSBAND")),1,IF('Ответы учащихся'!I28="N",'Ответы учащихся'!I28,0)),""),"")</f>
        <v>1</v>
      </c>
      <c r="K28" s="98">
        <f>IF(AND(OR($C28&lt;&gt;"",$D28&lt;&gt;""),$A28=1,$AJ$6="ДА"),IF(A28=1,IF(OR(AND(E28=1,'Ответы учащихся'!J28="AT"),AND(E28=2,'Ответы учащихся'!J28="LIVE")),1,IF('Ответы учащихся'!J28="N",'Ответы учащихся'!J28,0)),""),"")</f>
        <v>1</v>
      </c>
      <c r="L28" s="98">
        <f>IF(AND(OR($C28&lt;&gt;"",$D28&lt;&gt;""),$A28=1,$AJ$6="ДА"),IF(A28=1,IF(OR(AND(E28=1,'Ответы учащихся'!K28="SAID"),AND(E28=2,'Ответы учащихся'!K28="MUCH")),1,IF('Ответы учащихся'!K28="N",'Ответы учащихся'!K28,0)),""),"")</f>
        <v>1</v>
      </c>
      <c r="M28" s="98">
        <f>IF(AND(OR($C28&lt;&gt;"",$D28&lt;&gt;""),$A28=1,$AJ$6="ДА"),IF(A28=1,IF(OR(AND(E28=1,'Ответы учащихся'!L28="MORNING"),AND(E28=2,'Ответы учащихся'!L28="SHEEP")),1,IF('Ответы учащихся'!L28="N",'Ответы учащихся'!L28,0)),""),"")</f>
        <v>1</v>
      </c>
      <c r="N28" s="98">
        <f>IF(AND(OR($C28&lt;&gt;"",$D28&lt;&gt;""),$A28=1,$AJ$6="ДА"),IF(A28=1,IF(OR(AND(E28=1,'Ответы учащихся'!M28="MUCH"),AND(E28=2,'Ответы учащихся'!M28="SELL")),1,IF('Ответы учащихся'!M28="N",'Ответы учащихся'!M28,0)),""),"")</f>
        <v>1</v>
      </c>
      <c r="O28" s="131">
        <f>IF(AND(OR($C28&lt;&gt;"",$D28&lt;&gt;""),$A28=1,$AJ$6="ДА"),IF(A28=1,IF(OR(AND(E28=1,'Ответы учащихся'!N28="LIKE"),AND(E28=2,'Ответы учащихся'!N28="IN")),1,IF('Ответы учащихся'!N28="N",'Ответы учащихся'!N28,0)),""),"")</f>
        <v>0</v>
      </c>
      <c r="P28" s="98">
        <f>IF(AND(OR($C28&lt;&gt;"",$D28&lt;&gt;""),$A28=1,$AJ$6="ДА"),IF(A28=1,IF(OR(AND(E28=1,'Ответы учащихся'!O28="ANIMALS"),AND(E28=2,'Ответы учащихся'!O28="CLOTHES")),1,IF('Ответы учащихся'!O28="N",'Ответы учащихся'!O28,0)),""),"")</f>
        <v>1</v>
      </c>
      <c r="Q28" s="98">
        <f>IF(AND(OR($C28&lt;&gt;"",$D28&lt;&gt;""),$A28=1,$AJ$6="ДА"),IF(A28=1,IF(OR(AND(E28=1,'Ответы учащихся'!P28="WE"),AND(E28=2,'Ответы учащихся'!P28="GOES")),1,IF('Ответы учащихся'!P28="N",'Ответы учащихся'!P28,0)),""),"")</f>
        <v>0</v>
      </c>
      <c r="R28" s="98">
        <f>IF(AND(OR($C28&lt;&gt;"",$D28&lt;&gt;""),$A28=1,$AJ$6="ДА"),IF(A28=1,IF(OR(AND(E28=1,'Ответы учащихся'!Q28="ASKED"),AND(E28=2,'Ответы учащихся'!Q28="MADE")),1,IF('Ответы учащихся'!Q28="N",'Ответы учащихся'!Q28,0)),""),"")</f>
        <v>1</v>
      </c>
      <c r="S28" s="98">
        <f>IF(AND(OR($C28&lt;&gt;"",$D28&lt;&gt;""),$A28=1,$AJ$6="ДА"),IF(A28=1,IF(OR(AND(E28=1,'Ответы учащихся'!R28="LOST"),AND(E28=2,'Ответы учащихся'!R28="GOT")),1,IF('Ответы учащихся'!R28="N",'Ответы учащихся'!R28,0)),""),"")</f>
        <v>0</v>
      </c>
      <c r="T28" s="98">
        <f>IF(AND(OR($C28&lt;&gt;"",$D28&lt;&gt;""),$A28=1,$AJ$6="ДА"),IF(A28=1,IF(OR(AND(E28=1,'Ответы учащихся'!S28="GOT"),AND(E28=2,'Ответы учащихся'!S28="CAME")),1,IF('Ответы учащихся'!S28="N",'Ответы учащихся'!S28,0)),""),"")</f>
        <v>1</v>
      </c>
      <c r="U28" s="98">
        <f>IF(AND(OR($C28&lt;&gt;"",$D28&lt;&gt;""),$A28=1,$AJ$6="ДА"),IF(A28=1,IF(OR(AND(E28=1,'Ответы учащихся'!T28="SAW"),AND(E28=2,'Ответы учащихся'!T28="OPENED")),1,IF('Ответы учащихся'!T28="N",'Ответы учащихся'!T28,0)),""),"")</f>
        <v>1</v>
      </c>
      <c r="V28" s="98">
        <f>IF(AND(OR($C28&lt;&gt;"",$D28&lt;&gt;""),$A28=1,$AJ$6="ДА"),IF(A28=1,IF(OR(AND(E28=1,'Ответы учащихся'!U28="WAS"),AND(E28=2,'Ответы учащихся'!U28="TRIED")),1,IF('Ответы учащихся'!U28="N",'Ответы учащихся'!U28,0)),""),"")</f>
        <v>1</v>
      </c>
      <c r="W28" s="98">
        <f>IF(AND(OR($C28&lt;&gt;"",$D28&lt;&gt;""),$A28=1,$AJ$6="ДА"),IF(A28=1,IF(OR(AND(E28=1,'Ответы учащихся'!V28="KNEW"),AND(E28=2,'Ответы учащихся'!V28="SAW")),1,IF('Ответы учащихся'!V28="N",'Ответы учащихся'!V28,0)),""),"")</f>
        <v>1</v>
      </c>
      <c r="X28" s="98">
        <f>IF(AND(OR($C28&lt;&gt;"",$D28&lt;&gt;""),$A28=1,$AJ$6="ДА"),IF(A28=1,IF(OR(AND(E28=1,'Ответы учащихся'!W28="BROKE"),AND(E28=2,'Ответы учащихся'!W28="WENT")),1,IF('Ответы учащихся'!W28="N",'Ответы учащихся'!W28,0)),""),"")</f>
        <v>1</v>
      </c>
      <c r="Y28" s="98">
        <f>IF(AND(OR($C28&lt;&gt;"",$D28&lt;&gt;""),$A28=1,$AJ$6="ДА"),IF(A28=1,IF(OR(AND(E28=1,'Ответы учащихся'!X28="CAME"),AND(E28=2,'Ответы учащихся'!X28="BEGAN")),1,IF('Ответы учащихся'!X28="N",'Ответы учащихся'!X28,0)),""),"")</f>
        <v>1</v>
      </c>
      <c r="Z28" s="98">
        <f>IF(AND(OR($C28&lt;&gt;"",$D28&lt;&gt;""),$A28=1,$AJ$6="ДА"),IF(A28=1,IF(OR(AND(E28=1,'Ответы учащихся'!Y28="RODE"),AND(E28=2,'Ответы учащихся'!Y28="PUT")),1,IF('Ответы учащихся'!Y28="N",'Ответы учащихся'!Y28,0)),""),"")</f>
        <v>1</v>
      </c>
      <c r="AA28" s="305">
        <f>IF(AND(OR($C28&lt;&gt;"",$D28&lt;&gt;""),$A28=1,$AJ$6="ДА"),IF(A28=1,IF(OR(AND(E28=1,'Ответы учащихся'!Z28="TOOK"),AND(E28=2,'Ответы учащихся'!Z28="LEFT")),1,IF('Ответы учащихся'!Z28="N",'Ответы учащихся'!Z28,0)),""),"")</f>
        <v>1</v>
      </c>
      <c r="AB28" s="477">
        <f>IF(AND(OR($C28&lt;&gt;"",$D28&lt;&gt;""),$A28=1,$AJ$6="ДА"),IF(OR('Ответы учащихся'!AA28="N",'Ответы учащихся'!AL28="N"),"N",('Ответы учащихся'!AA28+'Ответы учащихся'!AL28)),"")</f>
        <v>3</v>
      </c>
      <c r="AC28" s="310" t="b">
        <f t="shared" si="5"/>
        <v>0</v>
      </c>
      <c r="AD28" s="274" t="b">
        <f t="shared" si="6"/>
        <v>0</v>
      </c>
      <c r="AE28" s="274">
        <f t="shared" si="7"/>
        <v>1</v>
      </c>
      <c r="AF28" s="274" t="b">
        <f t="shared" si="8"/>
        <v>0</v>
      </c>
      <c r="AG28" s="274" t="b">
        <f>IF(OR('Ответы учащихся'!AA28="N",'Ответы учащихся'!AL28="N"),1)</f>
        <v>0</v>
      </c>
      <c r="AH28" s="289">
        <f>IF(AND(OR($C28&lt;&gt;"",$D28&lt;&gt;""),$A28=1,$AJ$6="ДА"),IF(A28=1,IF('Ответы учащихся'!AK28="N",'Ответы учащихся'!AK28,AF28+AG28),""),"")</f>
        <v>0</v>
      </c>
      <c r="AI28" s="461">
        <f t="shared" si="9"/>
        <v>22</v>
      </c>
      <c r="AJ28" s="128">
        <f t="shared" si="10"/>
        <v>0.88</v>
      </c>
      <c r="AK28" s="133">
        <f t="shared" si="11"/>
        <v>9</v>
      </c>
      <c r="AL28" s="269">
        <f t="shared" si="12"/>
        <v>81.818181818181827</v>
      </c>
      <c r="AM28" s="133">
        <f t="shared" si="13"/>
        <v>13</v>
      </c>
      <c r="AN28" s="269">
        <f t="shared" si="14"/>
        <v>92.857142857142861</v>
      </c>
      <c r="AO28" s="435" t="str">
        <f t="shared" si="15"/>
        <v>ПОВЫШЕННЫЙ</v>
      </c>
      <c r="AP28" s="427">
        <f t="shared" si="16"/>
        <v>17.068965517241381</v>
      </c>
      <c r="AQ28" s="182">
        <f t="shared" si="17"/>
        <v>0.6827586206896552</v>
      </c>
      <c r="AR28" s="176">
        <v>6</v>
      </c>
      <c r="AS28" s="181">
        <f t="shared" si="18"/>
        <v>69.905956112852664</v>
      </c>
      <c r="AT28" s="183">
        <f>IF(A28=1,IF(OR(AND(E28=1,'Ответы учащихся'!AB28=0.15),AND(E28=2,'Ответы учащихся'!AB28=-2)),1,IF('Ответы учащихся'!AB28="N",'Ответы учащихся'!AB28,0)),"")</f>
        <v>0</v>
      </c>
      <c r="AU28" s="176">
        <f>IF(A28=1,IF(OR(AND(E28=1,'Ответы учащихся'!AC28="м/с"),AND(E28=2,'Ответы учащихся'!AC28="mV0")),1,IF('Ответы учащихся'!AB28="N",'Ответы учащихся'!AB28,0)),"")</f>
        <v>0</v>
      </c>
      <c r="AV28" s="176">
        <f>IF(A28=1,IF(OR(AND(E28=1,'Ответы учащихся'!AD28=-6),AND(E28=2,'Ответы учащихся'!AD28=-10)),1,IF('Ответы учащихся'!AE28="N",'Ответы учащихся'!AE28,0)),"")</f>
        <v>0</v>
      </c>
      <c r="AW28" s="176">
        <f>IF(A28=1,IF(OR(AND(E28=1,'Ответы учащихся'!AE28="Нм"),AND(E28=2,'Ответы учащихся'!AE28="Нм")),1,IF('Ответы учащихся'!AE28="N",'Ответы учащихся'!AE28,0)),"")</f>
        <v>0</v>
      </c>
      <c r="AX28" s="176">
        <f>IF(A28=1,IF(OR(AND(E28=1,'Ответы учащихся'!AF28=250),AND(E28=2,'Ответы учащихся'!AF28=500)),1,IF('Ответы учащихся'!AF28="N",'Ответы учащихся'!AF28,0)),"")</f>
        <v>0</v>
      </c>
      <c r="AY28" s="176">
        <f>IF(A28=1,IF(OR(AND(E28=1,'Ответы учащихся'!AG28="м"),AND(E28=2,'Ответы учащихся'!AG28="Па")),1,IF('Ответы учащихся'!AF28="N",'Ответы учащихся'!AF28,0)),"")</f>
        <v>0</v>
      </c>
      <c r="AZ28" s="177" t="str">
        <f>IF(E28=1,(IF('Ответы учащихся'!N28=3,1,IF('Ответы учащихся'!N28="N",'Ответы учащихся'!N28,0))),"")</f>
        <v/>
      </c>
      <c r="BA28" s="178">
        <f>IF(E28=2,IF('Ответы учащихся'!N28=1,1,(IF('Ответы учащихся'!N28="N",'Ответы учащихся'!N28,0))),"")</f>
        <v>0</v>
      </c>
      <c r="BB28" s="179" t="str">
        <f>IF(E28=1,IF('Ответы учащихся'!O28=3,1,IF('Ответы учащихся'!O28="N",'Ответы учащихся'!O28,0)),"")</f>
        <v/>
      </c>
      <c r="BC28" s="178">
        <f>IF(E28=2,IF('Ответы учащихся'!O28=2,1,IF('Ответы учащихся'!O28="N",'Ответы учащихся'!O28,0)),"")</f>
        <v>0</v>
      </c>
      <c r="BD28" s="179" t="str">
        <f>IF(E28=1,IF('Ответы учащихся'!P28=1,1,IF('Ответы учащихся'!P28="N",'Ответы учащихся'!P28,0)),"")</f>
        <v/>
      </c>
      <c r="BE28" s="178">
        <f>IF(E28=2,IF('Ответы учащихся'!P28=1,1,IF('Ответы учащихся'!P28="N",'Ответы учащихся'!P28,0)),"")</f>
        <v>0</v>
      </c>
      <c r="BF28" s="176"/>
      <c r="BG28" s="176"/>
      <c r="BH28" s="176"/>
      <c r="BI28" s="176"/>
      <c r="BJ28" s="6"/>
      <c r="BK28" s="6"/>
      <c r="BL28" s="6"/>
      <c r="BM28" s="6"/>
      <c r="BN28" s="6"/>
      <c r="BO28" s="6"/>
    </row>
    <row r="29" spans="1:67" ht="12.75" customHeight="1">
      <c r="A29" s="12">
        <f>IF('СПИСОК КЛАССА'!J29&gt;0,1,0)</f>
        <v>1</v>
      </c>
      <c r="B29" s="313">
        <v>10</v>
      </c>
      <c r="C29" s="314">
        <f>IF(NOT(ISBLANK('СПИСОК КЛАССА'!C29)),'СПИСОК КЛАССА'!C29,"")</f>
        <v>10</v>
      </c>
      <c r="D29" s="314" t="str">
        <f>IF(NOT(ISBLANK('СПИСОК КЛАССА'!D29)),IF($A29=1,'СПИСОК КЛАССА'!D29, "УЧЕНИК НЕ ВЫПОЛНЯЛ РАБОТУ"),"")</f>
        <v>ЗАЛАЗНЫЙ РОМАН</v>
      </c>
      <c r="E29" s="287">
        <f>IF($C29&lt;&gt;"",'СПИСОК КЛАССА'!J29,"")</f>
        <v>1</v>
      </c>
      <c r="F29" s="441">
        <f>IF(AND(OR($C29&lt;&gt;"",$D29&lt;&gt;""),$A29=1,$AJ$6="ДА"),(IF(A29=1,IF(OR(AND(E29=1,'Ответы учащихся'!E29=1),AND(E29=2,'Ответы учащихся'!E29=3)),1,IF('Ответы учащихся'!E29="N",'Ответы учащихся'!E29,0)),"")),"")</f>
        <v>1</v>
      </c>
      <c r="G29" s="442">
        <f>IF(AND(OR($C29&lt;&gt;"",$D29&lt;&gt;""),$A29=1,$AJ$6="ДА"),(IF(A29=1,IF(OR(AND(E29=1,'Ответы учащихся'!F29=2),AND(E29=2,'Ответы учащихся'!F29=3)),1,IF('Ответы учащихся'!F29="N",'Ответы учащихся'!F29,0)),"")),"")</f>
        <v>1</v>
      </c>
      <c r="H29" s="304">
        <f>IF(AND(OR($C29&lt;&gt;"",$D29&lt;&gt;""),$A29=1,$AJ$6="ДА"),IF(A29=1,IF(OR(AND(E29=1,'Ответы учащихся'!G29="GIRL"),AND(E29=2,'Ответы учащихся'!G29="YEARS")),1,IF('Ответы учащихся'!G29="N",'Ответы учащихся'!G29,0)),""),"")</f>
        <v>1</v>
      </c>
      <c r="I29" s="98">
        <f>IF(AND(OR($C29&lt;&gt;"",$D29&lt;&gt;""),$A29=1,$AJ$6="ДА"),IF(A29=1,IF(OR(AND(E29=1,'Ответы учащихся'!H29="SHOUTED"),AND(E29=2,'Ответы учащихся'!H29="HER")),1,IF('Ответы учащихся'!H29="N",'Ответы учащихся'!H29,0)),""),"")</f>
        <v>1</v>
      </c>
      <c r="J29" s="98">
        <f>IF(AND(OR($C29&lt;&gt;"",$D29&lt;&gt;""),$A29=1,$AJ$6="ДА"),IF(A29=1,IF(OR(AND(E29=1,'Ответы учащихся'!I29="ZOO"),AND(E29=2,'Ответы учащихся'!I29="HUSBAND")),1,IF('Ответы учащихся'!I29="N",'Ответы учащихся'!I29,0)),""),"")</f>
        <v>1</v>
      </c>
      <c r="K29" s="98">
        <f>IF(AND(OR($C29&lt;&gt;"",$D29&lt;&gt;""),$A29=1,$AJ$6="ДА"),IF(A29=1,IF(OR(AND(E29=1,'Ответы учащихся'!J29="AT"),AND(E29=2,'Ответы учащихся'!J29="LIVE")),1,IF('Ответы учащихся'!J29="N",'Ответы учащихся'!J29,0)),""),"")</f>
        <v>1</v>
      </c>
      <c r="L29" s="98">
        <f>IF(AND(OR($C29&lt;&gt;"",$D29&lt;&gt;""),$A29=1,$AJ$6="ДА"),IF(A29=1,IF(OR(AND(E29=1,'Ответы учащихся'!K29="SAID"),AND(E29=2,'Ответы учащихся'!K29="MUCH")),1,IF('Ответы учащихся'!K29="N",'Ответы учащихся'!K29,0)),""),"")</f>
        <v>1</v>
      </c>
      <c r="M29" s="98">
        <f>IF(AND(OR($C29&lt;&gt;"",$D29&lt;&gt;""),$A29=1,$AJ$6="ДА"),IF(A29=1,IF(OR(AND(E29=1,'Ответы учащихся'!L29="MORNING"),AND(E29=2,'Ответы учащихся'!L29="SHEEP")),1,IF('Ответы учащихся'!L29="N",'Ответы учащихся'!L29,0)),""),"")</f>
        <v>1</v>
      </c>
      <c r="N29" s="98">
        <f>IF(AND(OR($C29&lt;&gt;"",$D29&lt;&gt;""),$A29=1,$AJ$6="ДА"),IF(A29=1,IF(OR(AND(E29=1,'Ответы учащихся'!M29="MUCH"),AND(E29=2,'Ответы учащихся'!M29="SELL")),1,IF('Ответы учащихся'!M29="N",'Ответы учащихся'!M29,0)),""),"")</f>
        <v>1</v>
      </c>
      <c r="O29" s="131">
        <f>IF(AND(OR($C29&lt;&gt;"",$D29&lt;&gt;""),$A29=1,$AJ$6="ДА"),IF(A29=1,IF(OR(AND(E29=1,'Ответы учащихся'!N29="LIKE"),AND(E29=2,'Ответы учащихся'!N29="IN")),1,IF('Ответы учащихся'!N29="N",'Ответы учащихся'!N29,0)),""),"")</f>
        <v>1</v>
      </c>
      <c r="P29" s="98">
        <f>IF(AND(OR($C29&lt;&gt;"",$D29&lt;&gt;""),$A29=1,$AJ$6="ДА"),IF(A29=1,IF(OR(AND(E29=1,'Ответы учащихся'!O29="ANIMALS"),AND(E29=2,'Ответы учащихся'!O29="CLOTHES")),1,IF('Ответы учащихся'!O29="N",'Ответы учащихся'!O29,0)),""),"")</f>
        <v>1</v>
      </c>
      <c r="Q29" s="98">
        <f>IF(AND(OR($C29&lt;&gt;"",$D29&lt;&gt;""),$A29=1,$AJ$6="ДА"),IF(A29=1,IF(OR(AND(E29=1,'Ответы учащихся'!P29="WE"),AND(E29=2,'Ответы учащихся'!P29="GOES")),1,IF('Ответы учащихся'!P29="N",'Ответы учащихся'!P29,0)),""),"")</f>
        <v>1</v>
      </c>
      <c r="R29" s="98">
        <f>IF(AND(OR($C29&lt;&gt;"",$D29&lt;&gt;""),$A29=1,$AJ$6="ДА"),IF(A29=1,IF(OR(AND(E29=1,'Ответы учащихся'!Q29="ASKED"),AND(E29=2,'Ответы учащихся'!Q29="MADE")),1,IF('Ответы учащихся'!Q29="N",'Ответы учащихся'!Q29,0)),""),"")</f>
        <v>1</v>
      </c>
      <c r="S29" s="98">
        <f>IF(AND(OR($C29&lt;&gt;"",$D29&lt;&gt;""),$A29=1,$AJ$6="ДА"),IF(A29=1,IF(OR(AND(E29=1,'Ответы учащихся'!R29="LOST"),AND(E29=2,'Ответы учащихся'!R29="GOT")),1,IF('Ответы учащихся'!R29="N",'Ответы учащихся'!R29,0)),""),"")</f>
        <v>1</v>
      </c>
      <c r="T29" s="98">
        <f>IF(AND(OR($C29&lt;&gt;"",$D29&lt;&gt;""),$A29=1,$AJ$6="ДА"),IF(A29=1,IF(OR(AND(E29=1,'Ответы учащихся'!S29="GOT"),AND(E29=2,'Ответы учащихся'!S29="CAME")),1,IF('Ответы учащихся'!S29="N",'Ответы учащихся'!S29,0)),""),"")</f>
        <v>0</v>
      </c>
      <c r="U29" s="98">
        <f>IF(AND(OR($C29&lt;&gt;"",$D29&lt;&gt;""),$A29=1,$AJ$6="ДА"),IF(A29=1,IF(OR(AND(E29=1,'Ответы учащихся'!T29="SAW"),AND(E29=2,'Ответы учащихся'!T29="OPENED")),1,IF('Ответы учащихся'!T29="N",'Ответы учащихся'!T29,0)),""),"")</f>
        <v>1</v>
      </c>
      <c r="V29" s="98">
        <f>IF(AND(OR($C29&lt;&gt;"",$D29&lt;&gt;""),$A29=1,$AJ$6="ДА"),IF(A29=1,IF(OR(AND(E29=1,'Ответы учащихся'!U29="WAS"),AND(E29=2,'Ответы учащихся'!U29="TRIED")),1,IF('Ответы учащихся'!U29="N",'Ответы учащихся'!U29,0)),""),"")</f>
        <v>1</v>
      </c>
      <c r="W29" s="98">
        <f>IF(AND(OR($C29&lt;&gt;"",$D29&lt;&gt;""),$A29=1,$AJ$6="ДА"),IF(A29=1,IF(OR(AND(E29=1,'Ответы учащихся'!V29="KNEW"),AND(E29=2,'Ответы учащихся'!V29="SAW")),1,IF('Ответы учащихся'!V29="N",'Ответы учащихся'!V29,0)),""),"")</f>
        <v>1</v>
      </c>
      <c r="X29" s="98">
        <f>IF(AND(OR($C29&lt;&gt;"",$D29&lt;&gt;""),$A29=1,$AJ$6="ДА"),IF(A29=1,IF(OR(AND(E29=1,'Ответы учащихся'!W29="BROKE"),AND(E29=2,'Ответы учащихся'!W29="WENT")),1,IF('Ответы учащихся'!W29="N",'Ответы учащихся'!W29,0)),""),"")</f>
        <v>1</v>
      </c>
      <c r="Y29" s="98">
        <f>IF(AND(OR($C29&lt;&gt;"",$D29&lt;&gt;""),$A29=1,$AJ$6="ДА"),IF(A29=1,IF(OR(AND(E29=1,'Ответы учащихся'!X29="CAME"),AND(E29=2,'Ответы учащихся'!X29="BEGAN")),1,IF('Ответы учащихся'!X29="N",'Ответы учащихся'!X29,0)),""),"")</f>
        <v>1</v>
      </c>
      <c r="Z29" s="98">
        <f>IF(AND(OR($C29&lt;&gt;"",$D29&lt;&gt;""),$A29=1,$AJ$6="ДА"),IF(A29=1,IF(OR(AND(E29=1,'Ответы учащихся'!Y29="RODE"),AND(E29=2,'Ответы учащихся'!Y29="PUT")),1,IF('Ответы учащихся'!Y29="N",'Ответы учащихся'!Y29,0)),""),"")</f>
        <v>1</v>
      </c>
      <c r="AA29" s="305">
        <f>IF(AND(OR($C29&lt;&gt;"",$D29&lt;&gt;""),$A29=1,$AJ$6="ДА"),IF(A29=1,IF(OR(AND(E29=1,'Ответы учащихся'!Z29="TOOK"),AND(E29=2,'Ответы учащихся'!Z29="LEFT")),1,IF('Ответы учащихся'!Z29="N",'Ответы учащихся'!Z29,0)),""),"")</f>
        <v>1</v>
      </c>
      <c r="AB29" s="477">
        <f>IF(AND(OR($C29&lt;&gt;"",$D29&lt;&gt;""),$A29=1,$AJ$6="ДА"),IF(OR('Ответы учащихся'!AA29="N",'Ответы учащихся'!AL29="N"),"N",('Ответы учащихся'!AA29+'Ответы учащихся'!AL29)),"")</f>
        <v>2</v>
      </c>
      <c r="AC29" s="310" t="b">
        <f t="shared" si="5"/>
        <v>0</v>
      </c>
      <c r="AD29" s="274">
        <f t="shared" si="6"/>
        <v>1</v>
      </c>
      <c r="AE29" s="274" t="b">
        <f t="shared" si="7"/>
        <v>0</v>
      </c>
      <c r="AF29" s="274" t="b">
        <f t="shared" si="8"/>
        <v>0</v>
      </c>
      <c r="AG29" s="274" t="b">
        <f>IF(OR('Ответы учащихся'!AA29="N",'Ответы учащихся'!AL29="N"),1)</f>
        <v>0</v>
      </c>
      <c r="AH29" s="289">
        <f>IF(AND(OR($C29&lt;&gt;"",$D29&lt;&gt;""),$A29=1,$AJ$6="ДА"),IF(A29=1,IF('Ответы учащихся'!AK29="N",'Ответы учащихся'!AK29,AF29+AG29),""),"")</f>
        <v>0</v>
      </c>
      <c r="AI29" s="461">
        <f t="shared" si="9"/>
        <v>23</v>
      </c>
      <c r="AJ29" s="128">
        <f t="shared" si="10"/>
        <v>0.92</v>
      </c>
      <c r="AK29" s="133">
        <f t="shared" si="11"/>
        <v>11</v>
      </c>
      <c r="AL29" s="269">
        <f t="shared" si="12"/>
        <v>100</v>
      </c>
      <c r="AM29" s="133">
        <f t="shared" si="13"/>
        <v>12</v>
      </c>
      <c r="AN29" s="269">
        <f t="shared" si="14"/>
        <v>85.714285714285708</v>
      </c>
      <c r="AO29" s="435" t="str">
        <f t="shared" si="15"/>
        <v>ВЫСОКИЙ</v>
      </c>
      <c r="AP29" s="427">
        <f t="shared" si="16"/>
        <v>17.068965517241381</v>
      </c>
      <c r="AQ29" s="182">
        <f t="shared" si="17"/>
        <v>0.6827586206896552</v>
      </c>
      <c r="AR29" s="176">
        <v>6</v>
      </c>
      <c r="AS29" s="181">
        <f t="shared" si="18"/>
        <v>69.905956112852664</v>
      </c>
      <c r="AT29" s="183">
        <f>IF(A29=1,IF(OR(AND(E29=1,'Ответы учащихся'!AB29=0.15),AND(E29=2,'Ответы учащихся'!AB29=-2)),1,IF('Ответы учащихся'!AB29="N",'Ответы учащихся'!AB29,0)),"")</f>
        <v>0</v>
      </c>
      <c r="AU29" s="176">
        <f>IF(A29=1,IF(OR(AND(E29=1,'Ответы учащихся'!AC29="м/с"),AND(E29=2,'Ответы учащихся'!AC29="mV0")),1,IF('Ответы учащихся'!AB29="N",'Ответы учащихся'!AB29,0)),"")</f>
        <v>0</v>
      </c>
      <c r="AV29" s="176">
        <f>IF(A29=1,IF(OR(AND(E29=1,'Ответы учащихся'!AD29=-6),AND(E29=2,'Ответы учащихся'!AD29=-10)),1,IF('Ответы учащихся'!AE29="N",'Ответы учащихся'!AE29,0)),"")</f>
        <v>0</v>
      </c>
      <c r="AW29" s="176">
        <f>IF(A29=1,IF(OR(AND(E29=1,'Ответы учащихся'!AE29="Нм"),AND(E29=2,'Ответы учащихся'!AE29="Нм")),1,IF('Ответы учащихся'!AE29="N",'Ответы учащихся'!AE29,0)),"")</f>
        <v>0</v>
      </c>
      <c r="AX29" s="176">
        <f>IF(A29=1,IF(OR(AND(E29=1,'Ответы учащихся'!AF29=250),AND(E29=2,'Ответы учащихся'!AF29=500)),1,IF('Ответы учащихся'!AF29="N",'Ответы учащихся'!AF29,0)),"")</f>
        <v>0</v>
      </c>
      <c r="AY29" s="176">
        <f>IF(A29=1,IF(OR(AND(E29=1,'Ответы учащихся'!AG29="м"),AND(E29=2,'Ответы учащихся'!AG29="Па")),1,IF('Ответы учащихся'!AF29="N",'Ответы учащихся'!AF29,0)),"")</f>
        <v>0</v>
      </c>
      <c r="AZ29" s="177">
        <f>IF(E29=1,(IF('Ответы учащихся'!N29=3,1,IF('Ответы учащихся'!N29="N",'Ответы учащихся'!N29,0))),"")</f>
        <v>0</v>
      </c>
      <c r="BA29" s="178" t="str">
        <f>IF(E29=2,IF('Ответы учащихся'!N29=1,1,(IF('Ответы учащихся'!N29="N",'Ответы учащихся'!N29,0))),"")</f>
        <v/>
      </c>
      <c r="BB29" s="179">
        <f>IF(E29=1,IF('Ответы учащихся'!O29=3,1,IF('Ответы учащихся'!O29="N",'Ответы учащихся'!O29,0)),"")</f>
        <v>0</v>
      </c>
      <c r="BC29" s="178" t="str">
        <f>IF(E29=2,IF('Ответы учащихся'!O29=2,1,IF('Ответы учащихся'!O29="N",'Ответы учащихся'!O29,0)),"")</f>
        <v/>
      </c>
      <c r="BD29" s="179">
        <f>IF(E29=1,IF('Ответы учащихся'!P29=1,1,IF('Ответы учащихся'!P29="N",'Ответы учащихся'!P29,0)),"")</f>
        <v>0</v>
      </c>
      <c r="BE29" s="178" t="str">
        <f>IF(E29=2,IF('Ответы учащихся'!P29=1,1,IF('Ответы учащихся'!P29="N",'Ответы учащихся'!P29,0)),"")</f>
        <v/>
      </c>
      <c r="BF29" s="176"/>
      <c r="BG29" s="176"/>
      <c r="BH29" s="176"/>
      <c r="BI29" s="176"/>
      <c r="BJ29" s="6"/>
      <c r="BK29" s="6"/>
      <c r="BL29" s="6"/>
      <c r="BM29" s="6"/>
      <c r="BN29" s="6"/>
      <c r="BO29" s="6"/>
    </row>
    <row r="30" spans="1:67" ht="12.75" customHeight="1">
      <c r="A30" s="12">
        <f>IF('СПИСОК КЛАССА'!J30&gt;0,1,0)</f>
        <v>1</v>
      </c>
      <c r="B30" s="313">
        <v>11</v>
      </c>
      <c r="C30" s="314">
        <f>IF(NOT(ISBLANK('СПИСОК КЛАССА'!C30)),'СПИСОК КЛАССА'!C30,"")</f>
        <v>11</v>
      </c>
      <c r="D30" s="314" t="str">
        <f>IF(NOT(ISBLANK('СПИСОК КЛАССА'!D30)),IF($A30=1,'СПИСОК КЛАССА'!D30, "УЧЕНИК НЕ ВЫПОЛНЯЛ РАБОТУ"),"")</f>
        <v>ЗВИАДАДЗЕ ЕКАТЕРИНА</v>
      </c>
      <c r="E30" s="287">
        <f>IF($C30&lt;&gt;"",'СПИСОК КЛАССА'!J30,"")</f>
        <v>2</v>
      </c>
      <c r="F30" s="441">
        <f>IF(AND(OR($C30&lt;&gt;"",$D30&lt;&gt;""),$A30=1,$AJ$6="ДА"),(IF(A30=1,IF(OR(AND(E30=1,'Ответы учащихся'!E30=1),AND(E30=2,'Ответы учащихся'!E30=3)),1,IF('Ответы учащихся'!E30="N",'Ответы учащихся'!E30,0)),"")),"")</f>
        <v>1</v>
      </c>
      <c r="G30" s="442">
        <f>IF(AND(OR($C30&lt;&gt;"",$D30&lt;&gt;""),$A30=1,$AJ$6="ДА"),(IF(A30=1,IF(OR(AND(E30=1,'Ответы учащихся'!F30=2),AND(E30=2,'Ответы учащихся'!F30=3)),1,IF('Ответы учащихся'!F30="N",'Ответы учащихся'!F30,0)),"")),"")</f>
        <v>1</v>
      </c>
      <c r="H30" s="304">
        <f>IF(AND(OR($C30&lt;&gt;"",$D30&lt;&gt;""),$A30=1,$AJ$6="ДА"),IF(A30=1,IF(OR(AND(E30=1,'Ответы учащихся'!G30="GIRL"),AND(E30=2,'Ответы учащихся'!G30="YEARS")),1,IF('Ответы учащихся'!G30="N",'Ответы учащихся'!G30,0)),""),"")</f>
        <v>1</v>
      </c>
      <c r="I30" s="98">
        <f>IF(AND(OR($C30&lt;&gt;"",$D30&lt;&gt;""),$A30=1,$AJ$6="ДА"),IF(A30=1,IF(OR(AND(E30=1,'Ответы учащихся'!H30="SHOUTED"),AND(E30=2,'Ответы учащихся'!H30="HER")),1,IF('Ответы учащихся'!H30="N",'Ответы учащихся'!H30,0)),""),"")</f>
        <v>1</v>
      </c>
      <c r="J30" s="98">
        <f>IF(AND(OR($C30&lt;&gt;"",$D30&lt;&gt;""),$A30=1,$AJ$6="ДА"),IF(A30=1,IF(OR(AND(E30=1,'Ответы учащихся'!I30="ZOO"),AND(E30=2,'Ответы учащихся'!I30="HUSBAND")),1,IF('Ответы учащихся'!I30="N",'Ответы учащихся'!I30,0)),""),"")</f>
        <v>1</v>
      </c>
      <c r="K30" s="98">
        <f>IF(AND(OR($C30&lt;&gt;"",$D30&lt;&gt;""),$A30=1,$AJ$6="ДА"),IF(A30=1,IF(OR(AND(E30=1,'Ответы учащихся'!J30="AT"),AND(E30=2,'Ответы учащихся'!J30="LIVE")),1,IF('Ответы учащихся'!J30="N",'Ответы учащихся'!J30,0)),""),"")</f>
        <v>1</v>
      </c>
      <c r="L30" s="98">
        <f>IF(AND(OR($C30&lt;&gt;"",$D30&lt;&gt;""),$A30=1,$AJ$6="ДА"),IF(A30=1,IF(OR(AND(E30=1,'Ответы учащихся'!K30="SAID"),AND(E30=2,'Ответы учащихся'!K30="MUCH")),1,IF('Ответы учащихся'!K30="N",'Ответы учащихся'!K30,0)),""),"")</f>
        <v>1</v>
      </c>
      <c r="M30" s="98">
        <f>IF(AND(OR($C30&lt;&gt;"",$D30&lt;&gt;""),$A30=1,$AJ$6="ДА"),IF(A30=1,IF(OR(AND(E30=1,'Ответы учащихся'!L30="MORNING"),AND(E30=2,'Ответы учащихся'!L30="SHEEP")),1,IF('Ответы учащихся'!L30="N",'Ответы учащихся'!L30,0)),""),"")</f>
        <v>0</v>
      </c>
      <c r="N30" s="98">
        <f>IF(AND(OR($C30&lt;&gt;"",$D30&lt;&gt;""),$A30=1,$AJ$6="ДА"),IF(A30=1,IF(OR(AND(E30=1,'Ответы учащихся'!M30="MUCH"),AND(E30=2,'Ответы учащихся'!M30="SELL")),1,IF('Ответы учащихся'!M30="N",'Ответы учащихся'!M30,0)),""),"")</f>
        <v>0</v>
      </c>
      <c r="O30" s="131">
        <f>IF(AND(OR($C30&lt;&gt;"",$D30&lt;&gt;""),$A30=1,$AJ$6="ДА"),IF(A30=1,IF(OR(AND(E30=1,'Ответы учащихся'!N30="LIKE"),AND(E30=2,'Ответы учащихся'!N30="IN")),1,IF('Ответы учащихся'!N30="N",'Ответы учащихся'!N30,0)),""),"")</f>
        <v>0</v>
      </c>
      <c r="P30" s="98">
        <f>IF(AND(OR($C30&lt;&gt;"",$D30&lt;&gt;""),$A30=1,$AJ$6="ДА"),IF(A30=1,IF(OR(AND(E30=1,'Ответы учащихся'!O30="ANIMALS"),AND(E30=2,'Ответы учащихся'!O30="CLOTHES")),1,IF('Ответы учащихся'!O30="N",'Ответы учащихся'!O30,0)),""),"")</f>
        <v>0</v>
      </c>
      <c r="Q30" s="98">
        <f>IF(AND(OR($C30&lt;&gt;"",$D30&lt;&gt;""),$A30=1,$AJ$6="ДА"),IF(A30=1,IF(OR(AND(E30=1,'Ответы учащихся'!P30="WE"),AND(E30=2,'Ответы учащихся'!P30="GOES")),1,IF('Ответы учащихся'!P30="N",'Ответы учащихся'!P30,0)),""),"")</f>
        <v>0</v>
      </c>
      <c r="R30" s="98">
        <f>IF(AND(OR($C30&lt;&gt;"",$D30&lt;&gt;""),$A30=1,$AJ$6="ДА"),IF(A30=1,IF(OR(AND(E30=1,'Ответы учащихся'!Q30="ASKED"),AND(E30=2,'Ответы учащихся'!Q30="MADE")),1,IF('Ответы учащихся'!Q30="N",'Ответы учащихся'!Q30,0)),""),"")</f>
        <v>1</v>
      </c>
      <c r="S30" s="98">
        <f>IF(AND(OR($C30&lt;&gt;"",$D30&lt;&gt;""),$A30=1,$AJ$6="ДА"),IF(A30=1,IF(OR(AND(E30=1,'Ответы учащихся'!R30="LOST"),AND(E30=2,'Ответы учащихся'!R30="GOT")),1,IF('Ответы учащихся'!R30="N",'Ответы учащихся'!R30,0)),""),"")</f>
        <v>1</v>
      </c>
      <c r="T30" s="98">
        <f>IF(AND(OR($C30&lt;&gt;"",$D30&lt;&gt;""),$A30=1,$AJ$6="ДА"),IF(A30=1,IF(OR(AND(E30=1,'Ответы учащихся'!S30="GOT"),AND(E30=2,'Ответы учащихся'!S30="CAME")),1,IF('Ответы учащихся'!S30="N",'Ответы учащихся'!S30,0)),""),"")</f>
        <v>1</v>
      </c>
      <c r="U30" s="98">
        <f>IF(AND(OR($C30&lt;&gt;"",$D30&lt;&gt;""),$A30=1,$AJ$6="ДА"),IF(A30=1,IF(OR(AND(E30=1,'Ответы учащихся'!T30="SAW"),AND(E30=2,'Ответы учащихся'!T30="OPENED")),1,IF('Ответы учащихся'!T30="N",'Ответы учащихся'!T30,0)),""),"")</f>
        <v>1</v>
      </c>
      <c r="V30" s="98">
        <f>IF(AND(OR($C30&lt;&gt;"",$D30&lt;&gt;""),$A30=1,$AJ$6="ДА"),IF(A30=1,IF(OR(AND(E30=1,'Ответы учащихся'!U30="WAS"),AND(E30=2,'Ответы учащихся'!U30="TRIED")),1,IF('Ответы учащихся'!U30="N",'Ответы учащихся'!U30,0)),""),"")</f>
        <v>1</v>
      </c>
      <c r="W30" s="98">
        <f>IF(AND(OR($C30&lt;&gt;"",$D30&lt;&gt;""),$A30=1,$AJ$6="ДА"),IF(A30=1,IF(OR(AND(E30=1,'Ответы учащихся'!V30="KNEW"),AND(E30=2,'Ответы учащихся'!V30="SAW")),1,IF('Ответы учащихся'!V30="N",'Ответы учащихся'!V30,0)),""),"")</f>
        <v>1</v>
      </c>
      <c r="X30" s="98">
        <f>IF(AND(OR($C30&lt;&gt;"",$D30&lt;&gt;""),$A30=1,$AJ$6="ДА"),IF(A30=1,IF(OR(AND(E30=1,'Ответы учащихся'!W30="BROKE"),AND(E30=2,'Ответы учащихся'!W30="WENT")),1,IF('Ответы учащихся'!W30="N",'Ответы учащихся'!W30,0)),""),"")</f>
        <v>1</v>
      </c>
      <c r="Y30" s="98">
        <f>IF(AND(OR($C30&lt;&gt;"",$D30&lt;&gt;""),$A30=1,$AJ$6="ДА"),IF(A30=1,IF(OR(AND(E30=1,'Ответы учащихся'!X30="CAME"),AND(E30=2,'Ответы учащихся'!X30="BEGAN")),1,IF('Ответы учащихся'!X30="N",'Ответы учащихся'!X30,0)),""),"")</f>
        <v>1</v>
      </c>
      <c r="Z30" s="98">
        <f>IF(AND(OR($C30&lt;&gt;"",$D30&lt;&gt;""),$A30=1,$AJ$6="ДА"),IF(A30=1,IF(OR(AND(E30=1,'Ответы учащихся'!Y30="RODE"),AND(E30=2,'Ответы учащихся'!Y30="PUT")),1,IF('Ответы учащихся'!Y30="N",'Ответы учащихся'!Y30,0)),""),"")</f>
        <v>1</v>
      </c>
      <c r="AA30" s="305">
        <f>IF(AND(OR($C30&lt;&gt;"",$D30&lt;&gt;""),$A30=1,$AJ$6="ДА"),IF(A30=1,IF(OR(AND(E30=1,'Ответы учащихся'!Z30="TOOK"),AND(E30=2,'Ответы учащихся'!Z30="LEFT")),1,IF('Ответы учащихся'!Z30="N",'Ответы учащихся'!Z30,0)),""),"")</f>
        <v>0</v>
      </c>
      <c r="AB30" s="477">
        <f>IF(AND(OR($C30&lt;&gt;"",$D30&lt;&gt;""),$A30=1,$AJ$6="ДА"),IF(OR('Ответы учащихся'!AA30="N",'Ответы учащихся'!AL30="N"),"N",('Ответы учащихся'!AA30+'Ответы учащихся'!AL30)),"")</f>
        <v>2</v>
      </c>
      <c r="AC30" s="310" t="b">
        <f t="shared" si="5"/>
        <v>0</v>
      </c>
      <c r="AD30" s="274">
        <f t="shared" si="6"/>
        <v>1</v>
      </c>
      <c r="AE30" s="274" t="b">
        <f t="shared" si="7"/>
        <v>0</v>
      </c>
      <c r="AF30" s="274" t="b">
        <f t="shared" si="8"/>
        <v>0</v>
      </c>
      <c r="AG30" s="274" t="b">
        <f>IF(OR('Ответы учащихся'!AA30="N",'Ответы учащихся'!AL30="N"),1)</f>
        <v>0</v>
      </c>
      <c r="AH30" s="289">
        <f>IF(AND(OR($C30&lt;&gt;"",$D30&lt;&gt;""),$A30=1,$AJ$6="ДА"),IF(A30=1,IF('Ответы учащихся'!AK30="N",'Ответы учащихся'!AK30,AF30+AG30),""),"")</f>
        <v>0</v>
      </c>
      <c r="AI30" s="461">
        <f t="shared" si="9"/>
        <v>18</v>
      </c>
      <c r="AJ30" s="128">
        <f t="shared" si="10"/>
        <v>0.72</v>
      </c>
      <c r="AK30" s="133">
        <f t="shared" si="11"/>
        <v>6</v>
      </c>
      <c r="AL30" s="269">
        <f t="shared" si="12"/>
        <v>54.54545454545454</v>
      </c>
      <c r="AM30" s="133">
        <f t="shared" si="13"/>
        <v>12</v>
      </c>
      <c r="AN30" s="269">
        <f t="shared" si="14"/>
        <v>85.714285714285708</v>
      </c>
      <c r="AO30" s="435" t="str">
        <f t="shared" si="15"/>
        <v>БАЗОВЫЙ</v>
      </c>
      <c r="AP30" s="427">
        <f t="shared" si="16"/>
        <v>17.068965517241381</v>
      </c>
      <c r="AQ30" s="182">
        <f t="shared" si="17"/>
        <v>0.6827586206896552</v>
      </c>
      <c r="AR30" s="176">
        <v>6</v>
      </c>
      <c r="AS30" s="181">
        <f t="shared" si="18"/>
        <v>69.905956112852664</v>
      </c>
      <c r="AT30" s="183">
        <f>IF(A30=1,IF(OR(AND(E30=1,'Ответы учащихся'!AB30=0.15),AND(E30=2,'Ответы учащихся'!AB30=-2)),1,IF('Ответы учащихся'!AB30="N",'Ответы учащихся'!AB30,0)),"")</f>
        <v>0</v>
      </c>
      <c r="AU30" s="176">
        <f>IF(A30=1,IF(OR(AND(E30=1,'Ответы учащихся'!AC30="м/с"),AND(E30=2,'Ответы учащихся'!AC30="mV0")),1,IF('Ответы учащихся'!AB30="N",'Ответы учащихся'!AB30,0)),"")</f>
        <v>0</v>
      </c>
      <c r="AV30" s="176">
        <f>IF(A30=1,IF(OR(AND(E30=1,'Ответы учащихся'!AD30=-6),AND(E30=2,'Ответы учащихся'!AD30=-10)),1,IF('Ответы учащихся'!AE30="N",'Ответы учащихся'!AE30,0)),"")</f>
        <v>0</v>
      </c>
      <c r="AW30" s="176">
        <f>IF(A30=1,IF(OR(AND(E30=1,'Ответы учащихся'!AE30="Нм"),AND(E30=2,'Ответы учащихся'!AE30="Нм")),1,IF('Ответы учащихся'!AE30="N",'Ответы учащихся'!AE30,0)),"")</f>
        <v>0</v>
      </c>
      <c r="AX30" s="176">
        <f>IF(A30=1,IF(OR(AND(E30=1,'Ответы учащихся'!AF30=250),AND(E30=2,'Ответы учащихся'!AF30=500)),1,IF('Ответы учащихся'!AF30="N",'Ответы учащихся'!AF30,0)),"")</f>
        <v>0</v>
      </c>
      <c r="AY30" s="176">
        <f>IF(A30=1,IF(OR(AND(E30=1,'Ответы учащихся'!AG30="м"),AND(E30=2,'Ответы учащихся'!AG30="Па")),1,IF('Ответы учащихся'!AF30="N",'Ответы учащихся'!AF30,0)),"")</f>
        <v>0</v>
      </c>
      <c r="AZ30" s="177" t="str">
        <f>IF(E30=1,(IF('Ответы учащихся'!N30=3,1,IF('Ответы учащихся'!N30="N",'Ответы учащихся'!N30,0))),"")</f>
        <v/>
      </c>
      <c r="BA30" s="178">
        <f>IF(E30=2,IF('Ответы учащихся'!N30=1,1,(IF('Ответы учащихся'!N30="N",'Ответы учащихся'!N30,0))),"")</f>
        <v>0</v>
      </c>
      <c r="BB30" s="179" t="str">
        <f>IF(E30=1,IF('Ответы учащихся'!O30=3,1,IF('Ответы учащихся'!O30="N",'Ответы учащихся'!O30,0)),"")</f>
        <v/>
      </c>
      <c r="BC30" s="178">
        <f>IF(E30=2,IF('Ответы учащихся'!O30=2,1,IF('Ответы учащихся'!O30="N",'Ответы учащихся'!O30,0)),"")</f>
        <v>0</v>
      </c>
      <c r="BD30" s="179" t="str">
        <f>IF(E30=1,IF('Ответы учащихся'!P30=1,1,IF('Ответы учащихся'!P30="N",'Ответы учащихся'!P30,0)),"")</f>
        <v/>
      </c>
      <c r="BE30" s="178">
        <f>IF(E30=2,IF('Ответы учащихся'!P30=1,1,IF('Ответы учащихся'!P30="N",'Ответы учащихся'!P30,0)),"")</f>
        <v>0</v>
      </c>
      <c r="BF30" s="176"/>
      <c r="BG30" s="176"/>
      <c r="BH30" s="176"/>
      <c r="BI30" s="176"/>
      <c r="BJ30" s="6"/>
      <c r="BK30" s="6"/>
      <c r="BL30" s="6"/>
      <c r="BM30" s="6"/>
      <c r="BN30" s="6"/>
      <c r="BO30" s="6"/>
    </row>
    <row r="31" spans="1:67" ht="12.75" customHeight="1">
      <c r="A31" s="12">
        <f>IF('СПИСОК КЛАССА'!J31&gt;0,1,0)</f>
        <v>1</v>
      </c>
      <c r="B31" s="313">
        <v>12</v>
      </c>
      <c r="C31" s="314">
        <f>IF(NOT(ISBLANK('СПИСОК КЛАССА'!C31)),'СПИСОК КЛАССА'!C31,"")</f>
        <v>12</v>
      </c>
      <c r="D31" s="314" t="str">
        <f>IF(NOT(ISBLANK('СПИСОК КЛАССА'!D31)),IF($A31=1,'СПИСОК КЛАССА'!D31, "УЧЕНИК НЕ ВЫПОЛНЯЛ РАБОТУ"),"")</f>
        <v>ИГНАТЬЕВ ЕВГЕНИЙ</v>
      </c>
      <c r="E31" s="287">
        <f>IF($C31&lt;&gt;"",'СПИСОК КЛАССА'!J31,"")</f>
        <v>2</v>
      </c>
      <c r="F31" s="441">
        <f>IF(AND(OR($C31&lt;&gt;"",$D31&lt;&gt;""),$A31=1,$AJ$6="ДА"),(IF(A31=1,IF(OR(AND(E31=1,'Ответы учащихся'!E31=1),AND(E31=2,'Ответы учащихся'!E31=3)),1,IF('Ответы учащихся'!E31="N",'Ответы учащихся'!E31,0)),"")),"")</f>
        <v>1</v>
      </c>
      <c r="G31" s="442">
        <f>IF(AND(OR($C31&lt;&gt;"",$D31&lt;&gt;""),$A31=1,$AJ$6="ДА"),(IF(A31=1,IF(OR(AND(E31=1,'Ответы учащихся'!F31=2),AND(E31=2,'Ответы учащихся'!F31=3)),1,IF('Ответы учащихся'!F31="N",'Ответы учащихся'!F31,0)),"")),"")</f>
        <v>1</v>
      </c>
      <c r="H31" s="304">
        <f>IF(AND(OR($C31&lt;&gt;"",$D31&lt;&gt;""),$A31=1,$AJ$6="ДА"),IF(A31=1,IF(OR(AND(E31=1,'Ответы учащихся'!G31="GIRL"),AND(E31=2,'Ответы учащихся'!G31="YEARS")),1,IF('Ответы учащихся'!G31="N",'Ответы учащихся'!G31,0)),""),"")</f>
        <v>1</v>
      </c>
      <c r="I31" s="98">
        <f>IF(AND(OR($C31&lt;&gt;"",$D31&lt;&gt;""),$A31=1,$AJ$6="ДА"),IF(A31=1,IF(OR(AND(E31=1,'Ответы учащихся'!H31="SHOUTED"),AND(E31=2,'Ответы учащихся'!H31="HER")),1,IF('Ответы учащихся'!H31="N",'Ответы учащихся'!H31,0)),""),"")</f>
        <v>1</v>
      </c>
      <c r="J31" s="98">
        <f>IF(AND(OR($C31&lt;&gt;"",$D31&lt;&gt;""),$A31=1,$AJ$6="ДА"),IF(A31=1,IF(OR(AND(E31=1,'Ответы учащихся'!I31="ZOO"),AND(E31=2,'Ответы учащихся'!I31="HUSBAND")),1,IF('Ответы учащихся'!I31="N",'Ответы учащихся'!I31,0)),""),"")</f>
        <v>1</v>
      </c>
      <c r="K31" s="98">
        <f>IF(AND(OR($C31&lt;&gt;"",$D31&lt;&gt;""),$A31=1,$AJ$6="ДА"),IF(A31=1,IF(OR(AND(E31=1,'Ответы учащихся'!J31="AT"),AND(E31=2,'Ответы учащихся'!J31="LIVE")),1,IF('Ответы учащихся'!J31="N",'Ответы учащихся'!J31,0)),""),"")</f>
        <v>1</v>
      </c>
      <c r="L31" s="98">
        <f>IF(AND(OR($C31&lt;&gt;"",$D31&lt;&gt;""),$A31=1,$AJ$6="ДА"),IF(A31=1,IF(OR(AND(E31=1,'Ответы учащихся'!K31="SAID"),AND(E31=2,'Ответы учащихся'!K31="MUCH")),1,IF('Ответы учащихся'!K31="N",'Ответы учащихся'!K31,0)),""),"")</f>
        <v>1</v>
      </c>
      <c r="M31" s="98">
        <f>IF(AND(OR($C31&lt;&gt;"",$D31&lt;&gt;""),$A31=1,$AJ$6="ДА"),IF(A31=1,IF(OR(AND(E31=1,'Ответы учащихся'!L31="MORNING"),AND(E31=2,'Ответы учащихся'!L31="SHEEP")),1,IF('Ответы учащихся'!L31="N",'Ответы учащихся'!L31,0)),""),"")</f>
        <v>0</v>
      </c>
      <c r="N31" s="98">
        <f>IF(AND(OR($C31&lt;&gt;"",$D31&lt;&gt;""),$A31=1,$AJ$6="ДА"),IF(A31=1,IF(OR(AND(E31=1,'Ответы учащихся'!M31="MUCH"),AND(E31=2,'Ответы учащихся'!M31="SELL")),1,IF('Ответы учащихся'!M31="N",'Ответы учащихся'!M31,0)),""),"")</f>
        <v>0</v>
      </c>
      <c r="O31" s="131">
        <f>IF(AND(OR($C31&lt;&gt;"",$D31&lt;&gt;""),$A31=1,$AJ$6="ДА"),IF(A31=1,IF(OR(AND(E31=1,'Ответы учащихся'!N31="LIKE"),AND(E31=2,'Ответы учащихся'!N31="IN")),1,IF('Ответы учащихся'!N31="N",'Ответы учащихся'!N31,0)),""),"")</f>
        <v>0</v>
      </c>
      <c r="P31" s="98">
        <f>IF(AND(OR($C31&lt;&gt;"",$D31&lt;&gt;""),$A31=1,$AJ$6="ДА"),IF(A31=1,IF(OR(AND(E31=1,'Ответы учащихся'!O31="ANIMALS"),AND(E31=2,'Ответы учащихся'!O31="CLOTHES")),1,IF('Ответы учащихся'!O31="N",'Ответы учащихся'!O31,0)),""),"")</f>
        <v>0</v>
      </c>
      <c r="Q31" s="98">
        <f>IF(AND(OR($C31&lt;&gt;"",$D31&lt;&gt;""),$A31=1,$AJ$6="ДА"),IF(A31=1,IF(OR(AND(E31=1,'Ответы учащихся'!P31="WE"),AND(E31=2,'Ответы учащихся'!P31="GOES")),1,IF('Ответы учащихся'!P31="N",'Ответы учащихся'!P31,0)),""),"")</f>
        <v>0</v>
      </c>
      <c r="R31" s="98">
        <f>IF(AND(OR($C31&lt;&gt;"",$D31&lt;&gt;""),$A31=1,$AJ$6="ДА"),IF(A31=1,IF(OR(AND(E31=1,'Ответы учащихся'!Q31="ASKED"),AND(E31=2,'Ответы учащихся'!Q31="MADE")),1,IF('Ответы учащихся'!Q31="N",'Ответы учащихся'!Q31,0)),""),"")</f>
        <v>1</v>
      </c>
      <c r="S31" s="98">
        <f>IF(AND(OR($C31&lt;&gt;"",$D31&lt;&gt;""),$A31=1,$AJ$6="ДА"),IF(A31=1,IF(OR(AND(E31=1,'Ответы учащихся'!R31="LOST"),AND(E31=2,'Ответы учащихся'!R31="GOT")),1,IF('Ответы учащихся'!R31="N",'Ответы учащихся'!R31,0)),""),"")</f>
        <v>1</v>
      </c>
      <c r="T31" s="98">
        <f>IF(AND(OR($C31&lt;&gt;"",$D31&lt;&gt;""),$A31=1,$AJ$6="ДА"),IF(A31=1,IF(OR(AND(E31=1,'Ответы учащихся'!S31="GOT"),AND(E31=2,'Ответы учащихся'!S31="CAME")),1,IF('Ответы учащихся'!S31="N",'Ответы учащихся'!S31,0)),""),"")</f>
        <v>1</v>
      </c>
      <c r="U31" s="98">
        <f>IF(AND(OR($C31&lt;&gt;"",$D31&lt;&gt;""),$A31=1,$AJ$6="ДА"),IF(A31=1,IF(OR(AND(E31=1,'Ответы учащихся'!T31="SAW"),AND(E31=2,'Ответы учащихся'!T31="OPENED")),1,IF('Ответы учащихся'!T31="N",'Ответы учащихся'!T31,0)),""),"")</f>
        <v>0</v>
      </c>
      <c r="V31" s="98">
        <f>IF(AND(OR($C31&lt;&gt;"",$D31&lt;&gt;""),$A31=1,$AJ$6="ДА"),IF(A31=1,IF(OR(AND(E31=1,'Ответы учащихся'!U31="WAS"),AND(E31=2,'Ответы учащихся'!U31="TRIED")),1,IF('Ответы учащихся'!U31="N",'Ответы учащихся'!U31,0)),""),"")</f>
        <v>0</v>
      </c>
      <c r="W31" s="98">
        <f>IF(AND(OR($C31&lt;&gt;"",$D31&lt;&gt;""),$A31=1,$AJ$6="ДА"),IF(A31=1,IF(OR(AND(E31=1,'Ответы учащихся'!V31="KNEW"),AND(E31=2,'Ответы учащихся'!V31="SAW")),1,IF('Ответы учащихся'!V31="N",'Ответы учащихся'!V31,0)),""),"")</f>
        <v>0</v>
      </c>
      <c r="X31" s="98">
        <f>IF(AND(OR($C31&lt;&gt;"",$D31&lt;&gt;""),$A31=1,$AJ$6="ДА"),IF(A31=1,IF(OR(AND(E31=1,'Ответы учащихся'!W31="BROKE"),AND(E31=2,'Ответы учащихся'!W31="WENT")),1,IF('Ответы учащихся'!W31="N",'Ответы учащихся'!W31,0)),""),"")</f>
        <v>1</v>
      </c>
      <c r="Y31" s="98">
        <f>IF(AND(OR($C31&lt;&gt;"",$D31&lt;&gt;""),$A31=1,$AJ$6="ДА"),IF(A31=1,IF(OR(AND(E31=1,'Ответы учащихся'!X31="CAME"),AND(E31=2,'Ответы учащихся'!X31="BEGAN")),1,IF('Ответы учащихся'!X31="N",'Ответы учащихся'!X31,0)),""),"")</f>
        <v>0</v>
      </c>
      <c r="Z31" s="98">
        <f>IF(AND(OR($C31&lt;&gt;"",$D31&lt;&gt;""),$A31=1,$AJ$6="ДА"),IF(A31=1,IF(OR(AND(E31=1,'Ответы учащихся'!Y31="RODE"),AND(E31=2,'Ответы учащихся'!Y31="PUT")),1,IF('Ответы учащихся'!Y31="N",'Ответы учащихся'!Y31,0)),""),"")</f>
        <v>1</v>
      </c>
      <c r="AA31" s="305" t="str">
        <f>IF(AND(OR($C31&lt;&gt;"",$D31&lt;&gt;""),$A31=1,$AJ$6="ДА"),IF(A31=1,IF(OR(AND(E31=1,'Ответы учащихся'!Z31="TOOK"),AND(E31=2,'Ответы учащихся'!Z31="LEFT")),1,IF('Ответы учащихся'!Z31="N",'Ответы учащихся'!Z31,0)),""),"")</f>
        <v>N</v>
      </c>
      <c r="AB31" s="477">
        <f>IF(AND(OR($C31&lt;&gt;"",$D31&lt;&gt;""),$A31=1,$AJ$6="ДА"),IF(OR('Ответы учащихся'!AA31="N",'Ответы учащихся'!AL31="N"),"N",('Ответы учащихся'!AA31+'Ответы учащихся'!AL31)),"")</f>
        <v>2</v>
      </c>
      <c r="AC31" s="310" t="b">
        <f t="shared" si="5"/>
        <v>0</v>
      </c>
      <c r="AD31" s="274">
        <f t="shared" si="6"/>
        <v>1</v>
      </c>
      <c r="AE31" s="274" t="b">
        <f t="shared" si="7"/>
        <v>0</v>
      </c>
      <c r="AF31" s="274" t="b">
        <f t="shared" si="8"/>
        <v>0</v>
      </c>
      <c r="AG31" s="274" t="b">
        <f>IF(OR('Ответы учащихся'!AA31="N",'Ответы учащихся'!AL31="N"),1)</f>
        <v>0</v>
      </c>
      <c r="AH31" s="289">
        <f>IF(AND(OR($C31&lt;&gt;"",$D31&lt;&gt;""),$A31=1,$AJ$6="ДА"),IF(A31=1,IF('Ответы учащихся'!AK31="N",'Ответы учащихся'!AK31,AF31+AG31),""),"")</f>
        <v>0</v>
      </c>
      <c r="AI31" s="461">
        <f t="shared" si="9"/>
        <v>14</v>
      </c>
      <c r="AJ31" s="128">
        <f t="shared" si="10"/>
        <v>0.56000000000000005</v>
      </c>
      <c r="AK31" s="133">
        <f t="shared" si="11"/>
        <v>6</v>
      </c>
      <c r="AL31" s="269">
        <f t="shared" si="12"/>
        <v>54.54545454545454</v>
      </c>
      <c r="AM31" s="133">
        <f t="shared" si="13"/>
        <v>8</v>
      </c>
      <c r="AN31" s="269">
        <f t="shared" si="14"/>
        <v>57.142857142857139</v>
      </c>
      <c r="AO31" s="435" t="str">
        <f t="shared" si="15"/>
        <v>БАЗОВЫЙ</v>
      </c>
      <c r="AP31" s="427">
        <f t="shared" si="16"/>
        <v>17.068965517241381</v>
      </c>
      <c r="AQ31" s="182">
        <f t="shared" si="17"/>
        <v>0.6827586206896552</v>
      </c>
      <c r="AR31" s="176">
        <v>6</v>
      </c>
      <c r="AS31" s="181">
        <f t="shared" si="18"/>
        <v>69.905956112852664</v>
      </c>
      <c r="AT31" s="183">
        <f>IF(A31=1,IF(OR(AND(E31=1,'Ответы учащихся'!AB31=0.15),AND(E31=2,'Ответы учащихся'!AB31=-2)),1,IF('Ответы учащихся'!AB31="N",'Ответы учащихся'!AB31,0)),"")</f>
        <v>0</v>
      </c>
      <c r="AU31" s="176">
        <f>IF(A31=1,IF(OR(AND(E31=1,'Ответы учащихся'!AC31="м/с"),AND(E31=2,'Ответы учащихся'!AC31="mV0")),1,IF('Ответы учащихся'!AB31="N",'Ответы учащихся'!AB31,0)),"")</f>
        <v>0</v>
      </c>
      <c r="AV31" s="176">
        <f>IF(A31=1,IF(OR(AND(E31=1,'Ответы учащихся'!AD31=-6),AND(E31=2,'Ответы учащихся'!AD31=-10)),1,IF('Ответы учащихся'!AE31="N",'Ответы учащихся'!AE31,0)),"")</f>
        <v>0</v>
      </c>
      <c r="AW31" s="176">
        <f>IF(A31=1,IF(OR(AND(E31=1,'Ответы учащихся'!AE31="Нм"),AND(E31=2,'Ответы учащихся'!AE31="Нм")),1,IF('Ответы учащихся'!AE31="N",'Ответы учащихся'!AE31,0)),"")</f>
        <v>0</v>
      </c>
      <c r="AX31" s="176">
        <f>IF(A31=1,IF(OR(AND(E31=1,'Ответы учащихся'!AF31=250),AND(E31=2,'Ответы учащихся'!AF31=500)),1,IF('Ответы учащихся'!AF31="N",'Ответы учащихся'!AF31,0)),"")</f>
        <v>0</v>
      </c>
      <c r="AY31" s="176">
        <f>IF(A31=1,IF(OR(AND(E31=1,'Ответы учащихся'!AG31="м"),AND(E31=2,'Ответы учащихся'!AG31="Па")),1,IF('Ответы учащихся'!AF31="N",'Ответы учащихся'!AF31,0)),"")</f>
        <v>0</v>
      </c>
      <c r="AZ31" s="177" t="str">
        <f>IF(E31=1,(IF('Ответы учащихся'!N31=3,1,IF('Ответы учащихся'!N31="N",'Ответы учащихся'!N31,0))),"")</f>
        <v/>
      </c>
      <c r="BA31" s="178">
        <f>IF(E31=2,IF('Ответы учащихся'!N31=1,1,(IF('Ответы учащихся'!N31="N",'Ответы учащихся'!N31,0))),"")</f>
        <v>0</v>
      </c>
      <c r="BB31" s="179" t="str">
        <f>IF(E31=1,IF('Ответы учащихся'!O31=3,1,IF('Ответы учащихся'!O31="N",'Ответы учащихся'!O31,0)),"")</f>
        <v/>
      </c>
      <c r="BC31" s="178">
        <f>IF(E31=2,IF('Ответы учащихся'!O31=2,1,IF('Ответы учащихся'!O31="N",'Ответы учащихся'!O31,0)),"")</f>
        <v>0</v>
      </c>
      <c r="BD31" s="179" t="str">
        <f>IF(E31=1,IF('Ответы учащихся'!P31=1,1,IF('Ответы учащихся'!P31="N",'Ответы учащихся'!P31,0)),"")</f>
        <v/>
      </c>
      <c r="BE31" s="178">
        <f>IF(E31=2,IF('Ответы учащихся'!P31=1,1,IF('Ответы учащихся'!P31="N",'Ответы учащихся'!P31,0)),"")</f>
        <v>0</v>
      </c>
      <c r="BF31" s="176"/>
      <c r="BG31" s="176"/>
      <c r="BH31" s="176"/>
      <c r="BI31" s="176"/>
      <c r="BJ31" s="6"/>
      <c r="BK31" s="6"/>
      <c r="BL31" s="6"/>
      <c r="BM31" s="6"/>
      <c r="BN31" s="6"/>
      <c r="BO31" s="6"/>
    </row>
    <row r="32" spans="1:67" ht="12.75" customHeight="1">
      <c r="A32" s="12">
        <f>IF('СПИСОК КЛАССА'!J32&gt;0,1,0)</f>
        <v>1</v>
      </c>
      <c r="B32" s="313">
        <v>13</v>
      </c>
      <c r="C32" s="314">
        <f>IF(NOT(ISBLANK('СПИСОК КЛАССА'!C32)),'СПИСОК КЛАССА'!C32,"")</f>
        <v>13</v>
      </c>
      <c r="D32" s="314" t="str">
        <f>IF(NOT(ISBLANK('СПИСОК КЛАССА'!D32)),IF($A32=1,'СПИСОК КЛАССА'!D32, "УЧЕНИК НЕ ВЫПОЛНЯЛ РАБОТУ"),"")</f>
        <v>КАНТЕМИРОВА ПОЛИНА</v>
      </c>
      <c r="E32" s="287">
        <f>IF($C32&lt;&gt;"",'СПИСОК КЛАССА'!J32,"")</f>
        <v>2</v>
      </c>
      <c r="F32" s="441">
        <f>IF(AND(OR($C32&lt;&gt;"",$D32&lt;&gt;""),$A32=1,$AJ$6="ДА"),(IF(A32=1,IF(OR(AND(E32=1,'Ответы учащихся'!E32=1),AND(E32=2,'Ответы учащихся'!E32=3)),1,IF('Ответы учащихся'!E32="N",'Ответы учащихся'!E32,0)),"")),"")</f>
        <v>0</v>
      </c>
      <c r="G32" s="442">
        <f>IF(AND(OR($C32&lt;&gt;"",$D32&lt;&gt;""),$A32=1,$AJ$6="ДА"),(IF(A32=1,IF(OR(AND(E32=1,'Ответы учащихся'!F32=2),AND(E32=2,'Ответы учащихся'!F32=3)),1,IF('Ответы учащихся'!F32="N",'Ответы учащихся'!F32,0)),"")),"")</f>
        <v>0</v>
      </c>
      <c r="H32" s="304">
        <f>IF(AND(OR($C32&lt;&gt;"",$D32&lt;&gt;""),$A32=1,$AJ$6="ДА"),IF(A32=1,IF(OR(AND(E32=1,'Ответы учащихся'!G32="GIRL"),AND(E32=2,'Ответы учащихся'!G32="YEARS")),1,IF('Ответы учащихся'!G32="N",'Ответы учащихся'!G32,0)),""),"")</f>
        <v>1</v>
      </c>
      <c r="I32" s="98">
        <f>IF(AND(OR($C32&lt;&gt;"",$D32&lt;&gt;""),$A32=1,$AJ$6="ДА"),IF(A32=1,IF(OR(AND(E32=1,'Ответы учащихся'!H32="SHOUTED"),AND(E32=2,'Ответы учащихся'!H32="HER")),1,IF('Ответы учащихся'!H32="N",'Ответы учащихся'!H32,0)),""),"")</f>
        <v>1</v>
      </c>
      <c r="J32" s="98">
        <f>IF(AND(OR($C32&lt;&gt;"",$D32&lt;&gt;""),$A32=1,$AJ$6="ДА"),IF(A32=1,IF(OR(AND(E32=1,'Ответы учащихся'!I32="ZOO"),AND(E32=2,'Ответы учащихся'!I32="HUSBAND")),1,IF('Ответы учащихся'!I32="N",'Ответы учащихся'!I32,0)),""),"")</f>
        <v>0</v>
      </c>
      <c r="K32" s="98">
        <f>IF(AND(OR($C32&lt;&gt;"",$D32&lt;&gt;""),$A32=1,$AJ$6="ДА"),IF(A32=1,IF(OR(AND(E32=1,'Ответы учащихся'!J32="AT"),AND(E32=2,'Ответы учащихся'!J32="LIVE")),1,IF('Ответы учащихся'!J32="N",'Ответы учащихся'!J32,0)),""),"")</f>
        <v>1</v>
      </c>
      <c r="L32" s="98">
        <f>IF(AND(OR($C32&lt;&gt;"",$D32&lt;&gt;""),$A32=1,$AJ$6="ДА"),IF(A32=1,IF(OR(AND(E32=1,'Ответы учащихся'!K32="SAID"),AND(E32=2,'Ответы учащихся'!K32="MUCH")),1,IF('Ответы учащихся'!K32="N",'Ответы учащихся'!K32,0)),""),"")</f>
        <v>1</v>
      </c>
      <c r="M32" s="98">
        <f>IF(AND(OR($C32&lt;&gt;"",$D32&lt;&gt;""),$A32=1,$AJ$6="ДА"),IF(A32=1,IF(OR(AND(E32=1,'Ответы учащихся'!L32="MORNING"),AND(E32=2,'Ответы учащихся'!L32="SHEEP")),1,IF('Ответы учащихся'!L32="N",'Ответы учащихся'!L32,0)),""),"")</f>
        <v>0</v>
      </c>
      <c r="N32" s="98">
        <f>IF(AND(OR($C32&lt;&gt;"",$D32&lt;&gt;""),$A32=1,$AJ$6="ДА"),IF(A32=1,IF(OR(AND(E32=1,'Ответы учащихся'!M32="MUCH"),AND(E32=2,'Ответы учащихся'!M32="SELL")),1,IF('Ответы учащихся'!M32="N",'Ответы учащихся'!M32,0)),""),"")</f>
        <v>0</v>
      </c>
      <c r="O32" s="131">
        <f>IF(AND(OR($C32&lt;&gt;"",$D32&lt;&gt;""),$A32=1,$AJ$6="ДА"),IF(A32=1,IF(OR(AND(E32=1,'Ответы учащихся'!N32="LIKE"),AND(E32=2,'Ответы учащихся'!N32="IN")),1,IF('Ответы учащихся'!N32="N",'Ответы учащихся'!N32,0)),""),"")</f>
        <v>1</v>
      </c>
      <c r="P32" s="98">
        <f>IF(AND(OR($C32&lt;&gt;"",$D32&lt;&gt;""),$A32=1,$AJ$6="ДА"),IF(A32=1,IF(OR(AND(E32=1,'Ответы учащихся'!O32="ANIMALS"),AND(E32=2,'Ответы учащихся'!O32="CLOTHES")),1,IF('Ответы учащихся'!O32="N",'Ответы учащихся'!O32,0)),""),"")</f>
        <v>0</v>
      </c>
      <c r="Q32" s="98">
        <f>IF(AND(OR($C32&lt;&gt;"",$D32&lt;&gt;""),$A32=1,$AJ$6="ДА"),IF(A32=1,IF(OR(AND(E32=1,'Ответы учащихся'!P32="WE"),AND(E32=2,'Ответы учащихся'!P32="GOES")),1,IF('Ответы учащихся'!P32="N",'Ответы учащихся'!P32,0)),""),"")</f>
        <v>0</v>
      </c>
      <c r="R32" s="98">
        <f>IF(AND(OR($C32&lt;&gt;"",$D32&lt;&gt;""),$A32=1,$AJ$6="ДА"),IF(A32=1,IF(OR(AND(E32=1,'Ответы учащихся'!Q32="ASKED"),AND(E32=2,'Ответы учащихся'!Q32="MADE")),1,IF('Ответы учащихся'!Q32="N",'Ответы учащихся'!Q32,0)),""),"")</f>
        <v>0</v>
      </c>
      <c r="S32" s="98" t="str">
        <f>IF(AND(OR($C32&lt;&gt;"",$D32&lt;&gt;""),$A32=1,$AJ$6="ДА"),IF(A32=1,IF(OR(AND(E32=1,'Ответы учащихся'!R32="LOST"),AND(E32=2,'Ответы учащихся'!R32="GOT")),1,IF('Ответы учащихся'!R32="N",'Ответы учащихся'!R32,0)),""),"")</f>
        <v>N</v>
      </c>
      <c r="T32" s="98">
        <f>IF(AND(OR($C32&lt;&gt;"",$D32&lt;&gt;""),$A32=1,$AJ$6="ДА"),IF(A32=1,IF(OR(AND(E32=1,'Ответы учащихся'!S32="GOT"),AND(E32=2,'Ответы учащихся'!S32="CAME")),1,IF('Ответы учащихся'!S32="N",'Ответы учащихся'!S32,0)),""),"")</f>
        <v>0</v>
      </c>
      <c r="U32" s="98">
        <f>IF(AND(OR($C32&lt;&gt;"",$D32&lt;&gt;""),$A32=1,$AJ$6="ДА"),IF(A32=1,IF(OR(AND(E32=1,'Ответы учащихся'!T32="SAW"),AND(E32=2,'Ответы учащихся'!T32="OPENED")),1,IF('Ответы учащихся'!T32="N",'Ответы учащихся'!T32,0)),""),"")</f>
        <v>1</v>
      </c>
      <c r="V32" s="98">
        <f>IF(AND(OR($C32&lt;&gt;"",$D32&lt;&gt;""),$A32=1,$AJ$6="ДА"),IF(A32=1,IF(OR(AND(E32=1,'Ответы учащихся'!U32="WAS"),AND(E32=2,'Ответы учащихся'!U32="TRIED")),1,IF('Ответы учащихся'!U32="N",'Ответы учащихся'!U32,0)),""),"")</f>
        <v>0</v>
      </c>
      <c r="W32" s="98">
        <f>IF(AND(OR($C32&lt;&gt;"",$D32&lt;&gt;""),$A32=1,$AJ$6="ДА"),IF(A32=1,IF(OR(AND(E32=1,'Ответы учащихся'!V32="KNEW"),AND(E32=2,'Ответы учащихся'!V32="SAW")),1,IF('Ответы учащихся'!V32="N",'Ответы учащихся'!V32,0)),""),"")</f>
        <v>0</v>
      </c>
      <c r="X32" s="98">
        <f>IF(AND(OR($C32&lt;&gt;"",$D32&lt;&gt;""),$A32=1,$AJ$6="ДА"),IF(A32=1,IF(OR(AND(E32=1,'Ответы учащихся'!W32="BROKE"),AND(E32=2,'Ответы учащихся'!W32="WENT")),1,IF('Ответы учащихся'!W32="N",'Ответы учащихся'!W32,0)),""),"")</f>
        <v>0</v>
      </c>
      <c r="Y32" s="98">
        <f>IF(AND(OR($C32&lt;&gt;"",$D32&lt;&gt;""),$A32=1,$AJ$6="ДА"),IF(A32=1,IF(OR(AND(E32=1,'Ответы учащихся'!X32="CAME"),AND(E32=2,'Ответы учащихся'!X32="BEGAN")),1,IF('Ответы учащихся'!X32="N",'Ответы учащихся'!X32,0)),""),"")</f>
        <v>1</v>
      </c>
      <c r="Z32" s="98">
        <f>IF(AND(OR($C32&lt;&gt;"",$D32&lt;&gt;""),$A32=1,$AJ$6="ДА"),IF(A32=1,IF(OR(AND(E32=1,'Ответы учащихся'!Y32="RODE"),AND(E32=2,'Ответы учащихся'!Y32="PUT")),1,IF('Ответы учащихся'!Y32="N",'Ответы учащихся'!Y32,0)),""),"")</f>
        <v>1</v>
      </c>
      <c r="AA32" s="305">
        <f>IF(AND(OR($C32&lt;&gt;"",$D32&lt;&gt;""),$A32=1,$AJ$6="ДА"),IF(A32=1,IF(OR(AND(E32=1,'Ответы учащихся'!Z32="TOOK"),AND(E32=2,'Ответы учащихся'!Z32="LEFT")),1,IF('Ответы учащихся'!Z32="N",'Ответы учащихся'!Z32,0)),""),"")</f>
        <v>0</v>
      </c>
      <c r="AB32" s="477">
        <f>IF(AND(OR($C32&lt;&gt;"",$D32&lt;&gt;""),$A32=1,$AJ$6="ДА"),IF(OR('Ответы учащихся'!AA32="N",'Ответы учащихся'!AL32="N"),"N",('Ответы учащихся'!AA32+'Ответы учащихся'!AL32)),"")</f>
        <v>1</v>
      </c>
      <c r="AC32" s="310">
        <f t="shared" si="5"/>
        <v>1</v>
      </c>
      <c r="AD32" s="274" t="b">
        <f t="shared" si="6"/>
        <v>0</v>
      </c>
      <c r="AE32" s="274" t="b">
        <f t="shared" si="7"/>
        <v>0</v>
      </c>
      <c r="AF32" s="274" t="b">
        <f t="shared" si="8"/>
        <v>0</v>
      </c>
      <c r="AG32" s="274" t="b">
        <f>IF(OR('Ответы учащихся'!AA32="N",'Ответы учащихся'!AL32="N"),1)</f>
        <v>0</v>
      </c>
      <c r="AH32" s="289">
        <f>IF(AND(OR($C32&lt;&gt;"",$D32&lt;&gt;""),$A32=1,$AJ$6="ДА"),IF(A32=1,IF('Ответы учащихся'!AK32="N",'Ответы учащихся'!AK32,AF32+AG32),""),"")</f>
        <v>0</v>
      </c>
      <c r="AI32" s="461">
        <f t="shared" si="9"/>
        <v>9</v>
      </c>
      <c r="AJ32" s="128">
        <f t="shared" si="10"/>
        <v>0.36</v>
      </c>
      <c r="AK32" s="133">
        <f t="shared" si="11"/>
        <v>5</v>
      </c>
      <c r="AL32" s="269">
        <f t="shared" si="12"/>
        <v>45.454545454545453</v>
      </c>
      <c r="AM32" s="133">
        <f t="shared" si="13"/>
        <v>4</v>
      </c>
      <c r="AN32" s="269">
        <f t="shared" si="14"/>
        <v>28.571428571428569</v>
      </c>
      <c r="AO32" s="435" t="str">
        <f t="shared" si="15"/>
        <v>НИЗКИЙ</v>
      </c>
      <c r="AP32" s="427">
        <f t="shared" si="16"/>
        <v>17.068965517241381</v>
      </c>
      <c r="AQ32" s="182">
        <f t="shared" si="17"/>
        <v>0.6827586206896552</v>
      </c>
      <c r="AR32" s="176">
        <v>6</v>
      </c>
      <c r="AS32" s="181">
        <f t="shared" si="18"/>
        <v>69.905956112852664</v>
      </c>
      <c r="AT32" s="183">
        <f>IF(A32=1,IF(OR(AND(E32=1,'Ответы учащихся'!AB32=0.15),AND(E32=2,'Ответы учащихся'!AB32=-2)),1,IF('Ответы учащихся'!AB32="N",'Ответы учащихся'!AB32,0)),"")</f>
        <v>0</v>
      </c>
      <c r="AU32" s="176">
        <f>IF(A32=1,IF(OR(AND(E32=1,'Ответы учащихся'!AC32="м/с"),AND(E32=2,'Ответы учащихся'!AC32="mV0")),1,IF('Ответы учащихся'!AB32="N",'Ответы учащихся'!AB32,0)),"")</f>
        <v>0</v>
      </c>
      <c r="AV32" s="176">
        <f>IF(A32=1,IF(OR(AND(E32=1,'Ответы учащихся'!AD32=-6),AND(E32=2,'Ответы учащихся'!AD32=-10)),1,IF('Ответы учащихся'!AE32="N",'Ответы учащихся'!AE32,0)),"")</f>
        <v>0</v>
      </c>
      <c r="AW32" s="176">
        <f>IF(A32=1,IF(OR(AND(E32=1,'Ответы учащихся'!AE32="Нм"),AND(E32=2,'Ответы учащихся'!AE32="Нм")),1,IF('Ответы учащихся'!AE32="N",'Ответы учащихся'!AE32,0)),"")</f>
        <v>0</v>
      </c>
      <c r="AX32" s="176">
        <f>IF(A32=1,IF(OR(AND(E32=1,'Ответы учащихся'!AF32=250),AND(E32=2,'Ответы учащихся'!AF32=500)),1,IF('Ответы учащихся'!AF32="N",'Ответы учащихся'!AF32,0)),"")</f>
        <v>0</v>
      </c>
      <c r="AY32" s="176">
        <f>IF(A32=1,IF(OR(AND(E32=1,'Ответы учащихся'!AG32="м"),AND(E32=2,'Ответы учащихся'!AG32="Па")),1,IF('Ответы учащихся'!AF32="N",'Ответы учащихся'!AF32,0)),"")</f>
        <v>0</v>
      </c>
      <c r="AZ32" s="177" t="str">
        <f>IF(E32=1,(IF('Ответы учащихся'!N32=3,1,IF('Ответы учащихся'!N32="N",'Ответы учащихся'!N32,0))),"")</f>
        <v/>
      </c>
      <c r="BA32" s="178">
        <f>IF(E32=2,IF('Ответы учащихся'!N32=1,1,(IF('Ответы учащихся'!N32="N",'Ответы учащихся'!N32,0))),"")</f>
        <v>0</v>
      </c>
      <c r="BB32" s="179" t="str">
        <f>IF(E32=1,IF('Ответы учащихся'!O32=3,1,IF('Ответы учащихся'!O32="N",'Ответы учащихся'!O32,0)),"")</f>
        <v/>
      </c>
      <c r="BC32" s="178">
        <f>IF(E32=2,IF('Ответы учащихся'!O32=2,1,IF('Ответы учащихся'!O32="N",'Ответы учащихся'!O32,0)),"")</f>
        <v>0</v>
      </c>
      <c r="BD32" s="179" t="str">
        <f>IF(E32=1,IF('Ответы учащихся'!P32=1,1,IF('Ответы учащихся'!P32="N",'Ответы учащихся'!P32,0)),"")</f>
        <v/>
      </c>
      <c r="BE32" s="178">
        <f>IF(E32=2,IF('Ответы учащихся'!P32=1,1,IF('Ответы учащихся'!P32="N",'Ответы учащихся'!P32,0)),"")</f>
        <v>0</v>
      </c>
      <c r="BF32" s="176"/>
      <c r="BG32" s="176"/>
      <c r="BH32" s="176"/>
      <c r="BI32" s="176"/>
      <c r="BJ32" s="6"/>
      <c r="BK32" s="6"/>
      <c r="BL32" s="6"/>
      <c r="BM32" s="6"/>
      <c r="BN32" s="6"/>
      <c r="BO32" s="6"/>
    </row>
    <row r="33" spans="1:67" ht="12.75" customHeight="1">
      <c r="A33" s="12">
        <f>IF('СПИСОК КЛАССА'!J33&gt;0,1,0)</f>
        <v>1</v>
      </c>
      <c r="B33" s="313">
        <v>14</v>
      </c>
      <c r="C33" s="314">
        <f>IF(NOT(ISBLANK('СПИСОК КЛАССА'!C33)),'СПИСОК КЛАССА'!C33,"")</f>
        <v>14</v>
      </c>
      <c r="D33" s="314" t="str">
        <f>IF(NOT(ISBLANK('СПИСОК КЛАССА'!D33)),IF($A33=1,'СПИСОК КЛАССА'!D33, "УЧЕНИК НЕ ВЫПОЛНЯЛ РАБОТУ"),"")</f>
        <v>КАРПОВА АНАСТАСИЯ</v>
      </c>
      <c r="E33" s="287">
        <f>IF($C33&lt;&gt;"",'СПИСОК КЛАССА'!J33,"")</f>
        <v>2</v>
      </c>
      <c r="F33" s="441">
        <f>IF(AND(OR($C33&lt;&gt;"",$D33&lt;&gt;""),$A33=1,$AJ$6="ДА"),(IF(A33=1,IF(OR(AND(E33=1,'Ответы учащихся'!E33=1),AND(E33=2,'Ответы учащихся'!E33=3)),1,IF('Ответы учащихся'!E33="N",'Ответы учащихся'!E33,0)),"")),"")</f>
        <v>1</v>
      </c>
      <c r="G33" s="442">
        <f>IF(AND(OR($C33&lt;&gt;"",$D33&lt;&gt;""),$A33=1,$AJ$6="ДА"),(IF(A33=1,IF(OR(AND(E33=1,'Ответы учащихся'!F33=2),AND(E33=2,'Ответы учащихся'!F33=3)),1,IF('Ответы учащихся'!F33="N",'Ответы учащихся'!F33,0)),"")),"")</f>
        <v>1</v>
      </c>
      <c r="H33" s="304">
        <f>IF(AND(OR($C33&lt;&gt;"",$D33&lt;&gt;""),$A33=1,$AJ$6="ДА"),IF(A33=1,IF(OR(AND(E33=1,'Ответы учащихся'!G33="GIRL"),AND(E33=2,'Ответы учащихся'!G33="YEARS")),1,IF('Ответы учащихся'!G33="N",'Ответы учащихся'!G33,0)),""),"")</f>
        <v>1</v>
      </c>
      <c r="I33" s="98">
        <f>IF(AND(OR($C33&lt;&gt;"",$D33&lt;&gt;""),$A33=1,$AJ$6="ДА"),IF(A33=1,IF(OR(AND(E33=1,'Ответы учащихся'!H33="SHOUTED"),AND(E33=2,'Ответы учащихся'!H33="HER")),1,IF('Ответы учащихся'!H33="N",'Ответы учащихся'!H33,0)),""),"")</f>
        <v>1</v>
      </c>
      <c r="J33" s="98">
        <f>IF(AND(OR($C33&lt;&gt;"",$D33&lt;&gt;""),$A33=1,$AJ$6="ДА"),IF(A33=1,IF(OR(AND(E33=1,'Ответы учащихся'!I33="ZOO"),AND(E33=2,'Ответы учащихся'!I33="HUSBAND")),1,IF('Ответы учащихся'!I33="N",'Ответы учащихся'!I33,0)),""),"")</f>
        <v>0</v>
      </c>
      <c r="K33" s="98">
        <f>IF(AND(OR($C33&lt;&gt;"",$D33&lt;&gt;""),$A33=1,$AJ$6="ДА"),IF(A33=1,IF(OR(AND(E33=1,'Ответы учащихся'!J33="AT"),AND(E33=2,'Ответы учащихся'!J33="LIVE")),1,IF('Ответы учащихся'!J33="N",'Ответы учащихся'!J33,0)),""),"")</f>
        <v>1</v>
      </c>
      <c r="L33" s="98">
        <f>IF(AND(OR($C33&lt;&gt;"",$D33&lt;&gt;""),$A33=1,$AJ$6="ДА"),IF(A33=1,IF(OR(AND(E33=1,'Ответы учащихся'!K33="SAID"),AND(E33=2,'Ответы учащихся'!K33="MUCH")),1,IF('Ответы учащихся'!K33="N",'Ответы учащихся'!K33,0)),""),"")</f>
        <v>1</v>
      </c>
      <c r="M33" s="98">
        <f>IF(AND(OR($C33&lt;&gt;"",$D33&lt;&gt;""),$A33=1,$AJ$6="ДА"),IF(A33=1,IF(OR(AND(E33=1,'Ответы учащихся'!L33="MORNING"),AND(E33=2,'Ответы учащихся'!L33="SHEEP")),1,IF('Ответы учащихся'!L33="N",'Ответы учащихся'!L33,0)),""),"")</f>
        <v>0</v>
      </c>
      <c r="N33" s="98">
        <f>IF(AND(OR($C33&lt;&gt;"",$D33&lt;&gt;""),$A33=1,$AJ$6="ДА"),IF(A33=1,IF(OR(AND(E33=1,'Ответы учащихся'!M33="MUCH"),AND(E33=2,'Ответы учащихся'!M33="SELL")),1,IF('Ответы учащихся'!M33="N",'Ответы учащихся'!M33,0)),""),"")</f>
        <v>0</v>
      </c>
      <c r="O33" s="131">
        <f>IF(AND(OR($C33&lt;&gt;"",$D33&lt;&gt;""),$A33=1,$AJ$6="ДА"),IF(A33=1,IF(OR(AND(E33=1,'Ответы учащихся'!N33="LIKE"),AND(E33=2,'Ответы учащихся'!N33="IN")),1,IF('Ответы учащихся'!N33="N",'Ответы учащихся'!N33,0)),""),"")</f>
        <v>1</v>
      </c>
      <c r="P33" s="98">
        <f>IF(AND(OR($C33&lt;&gt;"",$D33&lt;&gt;""),$A33=1,$AJ$6="ДА"),IF(A33=1,IF(OR(AND(E33=1,'Ответы учащихся'!O33="ANIMALS"),AND(E33=2,'Ответы учащихся'!O33="CLOTHES")),1,IF('Ответы учащихся'!O33="N",'Ответы учащихся'!O33,0)),""),"")</f>
        <v>0</v>
      </c>
      <c r="Q33" s="98">
        <f>IF(AND(OR($C33&lt;&gt;"",$D33&lt;&gt;""),$A33=1,$AJ$6="ДА"),IF(A33=1,IF(OR(AND(E33=1,'Ответы учащихся'!P33="WE"),AND(E33=2,'Ответы учащихся'!P33="GOES")),1,IF('Ответы учащихся'!P33="N",'Ответы учащихся'!P33,0)),""),"")</f>
        <v>0</v>
      </c>
      <c r="R33" s="98">
        <f>IF(AND(OR($C33&lt;&gt;"",$D33&lt;&gt;""),$A33=1,$AJ$6="ДА"),IF(A33=1,IF(OR(AND(E33=1,'Ответы учащихся'!Q33="ASKED"),AND(E33=2,'Ответы учащихся'!Q33="MADE")),1,IF('Ответы учащихся'!Q33="N",'Ответы учащихся'!Q33,0)),""),"")</f>
        <v>0</v>
      </c>
      <c r="S33" s="98">
        <f>IF(AND(OR($C33&lt;&gt;"",$D33&lt;&gt;""),$A33=1,$AJ$6="ДА"),IF(A33=1,IF(OR(AND(E33=1,'Ответы учащихся'!R33="LOST"),AND(E33=2,'Ответы учащихся'!R33="GOT")),1,IF('Ответы учащихся'!R33="N",'Ответы учащихся'!R33,0)),""),"")</f>
        <v>1</v>
      </c>
      <c r="T33" s="98">
        <f>IF(AND(OR($C33&lt;&gt;"",$D33&lt;&gt;""),$A33=1,$AJ$6="ДА"),IF(A33=1,IF(OR(AND(E33=1,'Ответы учащихся'!S33="GOT"),AND(E33=2,'Ответы учащихся'!S33="CAME")),1,IF('Ответы учащихся'!S33="N",'Ответы учащихся'!S33,0)),""),"")</f>
        <v>1</v>
      </c>
      <c r="U33" s="98">
        <f>IF(AND(OR($C33&lt;&gt;"",$D33&lt;&gt;""),$A33=1,$AJ$6="ДА"),IF(A33=1,IF(OR(AND(E33=1,'Ответы учащихся'!T33="SAW"),AND(E33=2,'Ответы учащихся'!T33="OPENED")),1,IF('Ответы учащихся'!T33="N",'Ответы учащихся'!T33,0)),""),"")</f>
        <v>0</v>
      </c>
      <c r="V33" s="98">
        <f>IF(AND(OR($C33&lt;&gt;"",$D33&lt;&gt;""),$A33=1,$AJ$6="ДА"),IF(A33=1,IF(OR(AND(E33=1,'Ответы учащихся'!U33="WAS"),AND(E33=2,'Ответы учащихся'!U33="TRIED")),1,IF('Ответы учащихся'!U33="N",'Ответы учащихся'!U33,0)),""),"")</f>
        <v>0</v>
      </c>
      <c r="W33" s="98">
        <f>IF(AND(OR($C33&lt;&gt;"",$D33&lt;&gt;""),$A33=1,$AJ$6="ДА"),IF(A33=1,IF(OR(AND(E33=1,'Ответы учащихся'!V33="KNEW"),AND(E33=2,'Ответы учащихся'!V33="SAW")),1,IF('Ответы учащихся'!V33="N",'Ответы учащихся'!V33,0)),""),"")</f>
        <v>0</v>
      </c>
      <c r="X33" s="98">
        <f>IF(AND(OR($C33&lt;&gt;"",$D33&lt;&gt;""),$A33=1,$AJ$6="ДА"),IF(A33=1,IF(OR(AND(E33=1,'Ответы учащихся'!W33="BROKE"),AND(E33=2,'Ответы учащихся'!W33="WENT")),1,IF('Ответы учащихся'!W33="N",'Ответы учащихся'!W33,0)),""),"")</f>
        <v>0</v>
      </c>
      <c r="Y33" s="98">
        <f>IF(AND(OR($C33&lt;&gt;"",$D33&lt;&gt;""),$A33=1,$AJ$6="ДА"),IF(A33=1,IF(OR(AND(E33=1,'Ответы учащихся'!X33="CAME"),AND(E33=2,'Ответы учащихся'!X33="BEGAN")),1,IF('Ответы учащихся'!X33="N",'Ответы учащихся'!X33,0)),""),"")</f>
        <v>1</v>
      </c>
      <c r="Z33" s="98">
        <f>IF(AND(OR($C33&lt;&gt;"",$D33&lt;&gt;""),$A33=1,$AJ$6="ДА"),IF(A33=1,IF(OR(AND(E33=1,'Ответы учащихся'!Y33="RODE"),AND(E33=2,'Ответы учащихся'!Y33="PUT")),1,IF('Ответы учащихся'!Y33="N",'Ответы учащихся'!Y33,0)),""),"")</f>
        <v>1</v>
      </c>
      <c r="AA33" s="305">
        <f>IF(AND(OR($C33&lt;&gt;"",$D33&lt;&gt;""),$A33=1,$AJ$6="ДА"),IF(A33=1,IF(OR(AND(E33=1,'Ответы учащихся'!Z33="TOOK"),AND(E33=2,'Ответы учащихся'!Z33="LEFT")),1,IF('Ответы учащихся'!Z33="N",'Ответы учащихся'!Z33,0)),""),"")</f>
        <v>0</v>
      </c>
      <c r="AB33" s="477">
        <f>IF(AND(OR($C33&lt;&gt;"",$D33&lt;&gt;""),$A33=1,$AJ$6="ДА"),IF(OR('Ответы учащихся'!AA33="N",'Ответы учащихся'!AL33="N"),"N",('Ответы учащихся'!AA33+'Ответы учащихся'!AL33)),"")</f>
        <v>2</v>
      </c>
      <c r="AC33" s="310" t="b">
        <f t="shared" si="5"/>
        <v>0</v>
      </c>
      <c r="AD33" s="274">
        <f t="shared" si="6"/>
        <v>1</v>
      </c>
      <c r="AE33" s="274" t="b">
        <f t="shared" si="7"/>
        <v>0</v>
      </c>
      <c r="AF33" s="274" t="b">
        <f t="shared" si="8"/>
        <v>0</v>
      </c>
      <c r="AG33" s="274" t="b">
        <f>IF(OR('Ответы учащихся'!AA33="N",'Ответы учащихся'!AL33="N"),1)</f>
        <v>0</v>
      </c>
      <c r="AH33" s="289">
        <f>IF(AND(OR($C33&lt;&gt;"",$D33&lt;&gt;""),$A33=1,$AJ$6="ДА"),IF(A33=1,IF('Ответы учащихся'!AK33="N",'Ответы учащихся'!AK33,AF33+AG33),""),"")</f>
        <v>0</v>
      </c>
      <c r="AI33" s="461">
        <f t="shared" si="9"/>
        <v>13</v>
      </c>
      <c r="AJ33" s="128">
        <f t="shared" si="10"/>
        <v>0.52</v>
      </c>
      <c r="AK33" s="133">
        <f t="shared" si="11"/>
        <v>6</v>
      </c>
      <c r="AL33" s="269">
        <f t="shared" si="12"/>
        <v>54.54545454545454</v>
      </c>
      <c r="AM33" s="133">
        <f t="shared" si="13"/>
        <v>7</v>
      </c>
      <c r="AN33" s="269">
        <f t="shared" si="14"/>
        <v>50</v>
      </c>
      <c r="AO33" s="435" t="str">
        <f t="shared" si="15"/>
        <v>БАЗОВЫЙ</v>
      </c>
      <c r="AP33" s="427">
        <f t="shared" si="16"/>
        <v>17.068965517241381</v>
      </c>
      <c r="AQ33" s="182">
        <f t="shared" si="17"/>
        <v>0.6827586206896552</v>
      </c>
      <c r="AR33" s="176">
        <v>6</v>
      </c>
      <c r="AS33" s="181">
        <f t="shared" si="18"/>
        <v>69.905956112852664</v>
      </c>
      <c r="AT33" s="183">
        <f>IF(A33=1,IF(OR(AND(E33=1,'Ответы учащихся'!AB33=0.15),AND(E33=2,'Ответы учащихся'!AB33=-2)),1,IF('Ответы учащихся'!AB33="N",'Ответы учащихся'!AB33,0)),"")</f>
        <v>0</v>
      </c>
      <c r="AU33" s="176">
        <f>IF(A33=1,IF(OR(AND(E33=1,'Ответы учащихся'!AC33="м/с"),AND(E33=2,'Ответы учащихся'!AC33="mV0")),1,IF('Ответы учащихся'!AB33="N",'Ответы учащихся'!AB33,0)),"")</f>
        <v>0</v>
      </c>
      <c r="AV33" s="176">
        <f>IF(A33=1,IF(OR(AND(E33=1,'Ответы учащихся'!AD33=-6),AND(E33=2,'Ответы учащихся'!AD33=-10)),1,IF('Ответы учащихся'!AE33="N",'Ответы учащихся'!AE33,0)),"")</f>
        <v>0</v>
      </c>
      <c r="AW33" s="176">
        <f>IF(A33=1,IF(OR(AND(E33=1,'Ответы учащихся'!AE33="Нм"),AND(E33=2,'Ответы учащихся'!AE33="Нм")),1,IF('Ответы учащихся'!AE33="N",'Ответы учащихся'!AE33,0)),"")</f>
        <v>0</v>
      </c>
      <c r="AX33" s="176">
        <f>IF(A33=1,IF(OR(AND(E33=1,'Ответы учащихся'!AF33=250),AND(E33=2,'Ответы учащихся'!AF33=500)),1,IF('Ответы учащихся'!AF33="N",'Ответы учащихся'!AF33,0)),"")</f>
        <v>0</v>
      </c>
      <c r="AY33" s="176">
        <f>IF(A33=1,IF(OR(AND(E33=1,'Ответы учащихся'!AG33="м"),AND(E33=2,'Ответы учащихся'!AG33="Па")),1,IF('Ответы учащихся'!AF33="N",'Ответы учащихся'!AF33,0)),"")</f>
        <v>0</v>
      </c>
      <c r="AZ33" s="177" t="str">
        <f>IF(E33=1,(IF('Ответы учащихся'!N33=3,1,IF('Ответы учащихся'!N33="N",'Ответы учащихся'!N33,0))),"")</f>
        <v/>
      </c>
      <c r="BA33" s="178">
        <f>IF(E33=2,IF('Ответы учащихся'!N33=1,1,(IF('Ответы учащихся'!N33="N",'Ответы учащихся'!N33,0))),"")</f>
        <v>0</v>
      </c>
      <c r="BB33" s="179" t="str">
        <f>IF(E33=1,IF('Ответы учащихся'!O33=3,1,IF('Ответы учащихся'!O33="N",'Ответы учащихся'!O33,0)),"")</f>
        <v/>
      </c>
      <c r="BC33" s="178">
        <f>IF(E33=2,IF('Ответы учащихся'!O33=2,1,IF('Ответы учащихся'!O33="N",'Ответы учащихся'!O33,0)),"")</f>
        <v>0</v>
      </c>
      <c r="BD33" s="179" t="str">
        <f>IF(E33=1,IF('Ответы учащихся'!P33=1,1,IF('Ответы учащихся'!P33="N",'Ответы учащихся'!P33,0)),"")</f>
        <v/>
      </c>
      <c r="BE33" s="178">
        <f>IF(E33=2,IF('Ответы учащихся'!P33=1,1,IF('Ответы учащихся'!P33="N",'Ответы учащихся'!P33,0)),"")</f>
        <v>0</v>
      </c>
      <c r="BF33" s="176"/>
      <c r="BG33" s="176"/>
      <c r="BH33" s="176"/>
      <c r="BI33" s="176"/>
      <c r="BJ33" s="6"/>
      <c r="BK33" s="6"/>
      <c r="BL33" s="6"/>
      <c r="BM33" s="6"/>
      <c r="BN33" s="6"/>
      <c r="BO33" s="6"/>
    </row>
    <row r="34" spans="1:67" ht="12.75" customHeight="1">
      <c r="A34" s="12">
        <f>IF('СПИСОК КЛАССА'!J34&gt;0,1,0)</f>
        <v>1</v>
      </c>
      <c r="B34" s="313">
        <v>15</v>
      </c>
      <c r="C34" s="314">
        <f>IF(NOT(ISBLANK('СПИСОК КЛАССА'!C34)),'СПИСОК КЛАССА'!C34,"")</f>
        <v>15</v>
      </c>
      <c r="D34" s="314" t="str">
        <f>IF(NOT(ISBLANK('СПИСОК КЛАССА'!D34)),IF($A34=1,'СПИСОК КЛАССА'!D34, "УЧЕНИК НЕ ВЫПОЛНЯЛ РАБОТУ"),"")</f>
        <v>КИРЕЕВА КРИСТИНА</v>
      </c>
      <c r="E34" s="287">
        <f>IF($C34&lt;&gt;"",'СПИСОК КЛАССА'!J34,"")</f>
        <v>2</v>
      </c>
      <c r="F34" s="441">
        <f>IF(AND(OR($C34&lt;&gt;"",$D34&lt;&gt;""),$A34=1,$AJ$6="ДА"),(IF(A34=1,IF(OR(AND(E34=1,'Ответы учащихся'!E34=1),AND(E34=2,'Ответы учащихся'!E34=3)),1,IF('Ответы учащихся'!E34="N",'Ответы учащихся'!E34,0)),"")),"")</f>
        <v>1</v>
      </c>
      <c r="G34" s="442">
        <f>IF(AND(OR($C34&lt;&gt;"",$D34&lt;&gt;""),$A34=1,$AJ$6="ДА"),(IF(A34=1,IF(OR(AND(E34=1,'Ответы учащихся'!F34=2),AND(E34=2,'Ответы учащихся'!F34=3)),1,IF('Ответы учащихся'!F34="N",'Ответы учащихся'!F34,0)),"")),"")</f>
        <v>1</v>
      </c>
      <c r="H34" s="304">
        <f>IF(AND(OR($C34&lt;&gt;"",$D34&lt;&gt;""),$A34=1,$AJ$6="ДА"),IF(A34=1,IF(OR(AND(E34=1,'Ответы учащихся'!G34="GIRL"),AND(E34=2,'Ответы учащихся'!G34="YEARS")),1,IF('Ответы учащихся'!G34="N",'Ответы учащихся'!G34,0)),""),"")</f>
        <v>1</v>
      </c>
      <c r="I34" s="98">
        <f>IF(AND(OR($C34&lt;&gt;"",$D34&lt;&gt;""),$A34=1,$AJ$6="ДА"),IF(A34=1,IF(OR(AND(E34=1,'Ответы учащихся'!H34="SHOUTED"),AND(E34=2,'Ответы учащихся'!H34="HER")),1,IF('Ответы учащихся'!H34="N",'Ответы учащихся'!H34,0)),""),"")</f>
        <v>1</v>
      </c>
      <c r="J34" s="98">
        <f>IF(AND(OR($C34&lt;&gt;"",$D34&lt;&gt;""),$A34=1,$AJ$6="ДА"),IF(A34=1,IF(OR(AND(E34=1,'Ответы учащихся'!I34="ZOO"),AND(E34=2,'Ответы учащихся'!I34="HUSBAND")),1,IF('Ответы учащихся'!I34="N",'Ответы учащихся'!I34,0)),""),"")</f>
        <v>1</v>
      </c>
      <c r="K34" s="98">
        <f>IF(AND(OR($C34&lt;&gt;"",$D34&lt;&gt;""),$A34=1,$AJ$6="ДА"),IF(A34=1,IF(OR(AND(E34=1,'Ответы учащихся'!J34="AT"),AND(E34=2,'Ответы учащихся'!J34="LIVE")),1,IF('Ответы учащихся'!J34="N",'Ответы учащихся'!J34,0)),""),"")</f>
        <v>1</v>
      </c>
      <c r="L34" s="98">
        <f>IF(AND(OR($C34&lt;&gt;"",$D34&lt;&gt;""),$A34=1,$AJ$6="ДА"),IF(A34=1,IF(OR(AND(E34=1,'Ответы учащихся'!K34="SAID"),AND(E34=2,'Ответы учащихся'!K34="MUCH")),1,IF('Ответы учащихся'!K34="N",'Ответы учащихся'!K34,0)),""),"")</f>
        <v>1</v>
      </c>
      <c r="M34" s="98">
        <f>IF(AND(OR($C34&lt;&gt;"",$D34&lt;&gt;""),$A34=1,$AJ$6="ДА"),IF(A34=1,IF(OR(AND(E34=1,'Ответы учащихся'!L34="MORNING"),AND(E34=2,'Ответы учащихся'!L34="SHEEP")),1,IF('Ответы учащихся'!L34="N",'Ответы учащихся'!L34,0)),""),"")</f>
        <v>1</v>
      </c>
      <c r="N34" s="98">
        <f>IF(AND(OR($C34&lt;&gt;"",$D34&lt;&gt;""),$A34=1,$AJ$6="ДА"),IF(A34=1,IF(OR(AND(E34=1,'Ответы учащихся'!M34="MUCH"),AND(E34=2,'Ответы учащихся'!M34="SELL")),1,IF('Ответы учащихся'!M34="N",'Ответы учащихся'!M34,0)),""),"")</f>
        <v>1</v>
      </c>
      <c r="O34" s="131">
        <f>IF(AND(OR($C34&lt;&gt;"",$D34&lt;&gt;""),$A34=1,$AJ$6="ДА"),IF(A34=1,IF(OR(AND(E34=1,'Ответы учащихся'!N34="LIKE"),AND(E34=2,'Ответы учащихся'!N34="IN")),1,IF('Ответы учащихся'!N34="N",'Ответы учащихся'!N34,0)),""),"")</f>
        <v>1</v>
      </c>
      <c r="P34" s="98">
        <f>IF(AND(OR($C34&lt;&gt;"",$D34&lt;&gt;""),$A34=1,$AJ$6="ДА"),IF(A34=1,IF(OR(AND(E34=1,'Ответы учащихся'!O34="ANIMALS"),AND(E34=2,'Ответы учащихся'!O34="CLOTHES")),1,IF('Ответы учащихся'!O34="N",'Ответы учащихся'!O34,0)),""),"")</f>
        <v>1</v>
      </c>
      <c r="Q34" s="98">
        <f>IF(AND(OR($C34&lt;&gt;"",$D34&lt;&gt;""),$A34=1,$AJ$6="ДА"),IF(A34=1,IF(OR(AND(E34=1,'Ответы учащихся'!P34="WE"),AND(E34=2,'Ответы учащихся'!P34="GOES")),1,IF('Ответы учащихся'!P34="N",'Ответы учащихся'!P34,0)),""),"")</f>
        <v>1</v>
      </c>
      <c r="R34" s="98">
        <f>IF(AND(OR($C34&lt;&gt;"",$D34&lt;&gt;""),$A34=1,$AJ$6="ДА"),IF(A34=1,IF(OR(AND(E34=1,'Ответы учащихся'!Q34="ASKED"),AND(E34=2,'Ответы учащихся'!Q34="MADE")),1,IF('Ответы учащихся'!Q34="N",'Ответы учащихся'!Q34,0)),""),"")</f>
        <v>1</v>
      </c>
      <c r="S34" s="98">
        <f>IF(AND(OR($C34&lt;&gt;"",$D34&lt;&gt;""),$A34=1,$AJ$6="ДА"),IF(A34=1,IF(OR(AND(E34=1,'Ответы учащихся'!R34="LOST"),AND(E34=2,'Ответы учащихся'!R34="GOT")),1,IF('Ответы учащихся'!R34="N",'Ответы учащихся'!R34,0)),""),"")</f>
        <v>1</v>
      </c>
      <c r="T34" s="98">
        <f>IF(AND(OR($C34&lt;&gt;"",$D34&lt;&gt;""),$A34=1,$AJ$6="ДА"),IF(A34=1,IF(OR(AND(E34=1,'Ответы учащихся'!S34="GOT"),AND(E34=2,'Ответы учащихся'!S34="CAME")),1,IF('Ответы учащихся'!S34="N",'Ответы учащихся'!S34,0)),""),"")</f>
        <v>1</v>
      </c>
      <c r="U34" s="98">
        <f>IF(AND(OR($C34&lt;&gt;"",$D34&lt;&gt;""),$A34=1,$AJ$6="ДА"),IF(A34=1,IF(OR(AND(E34=1,'Ответы учащихся'!T34="SAW"),AND(E34=2,'Ответы учащихся'!T34="OPENED")),1,IF('Ответы учащихся'!T34="N",'Ответы учащихся'!T34,0)),""),"")</f>
        <v>1</v>
      </c>
      <c r="V34" s="98">
        <f>IF(AND(OR($C34&lt;&gt;"",$D34&lt;&gt;""),$A34=1,$AJ$6="ДА"),IF(A34=1,IF(OR(AND(E34=1,'Ответы учащихся'!U34="WAS"),AND(E34=2,'Ответы учащихся'!U34="TRIED")),1,IF('Ответы учащихся'!U34="N",'Ответы учащихся'!U34,0)),""),"")</f>
        <v>1</v>
      </c>
      <c r="W34" s="98">
        <f>IF(AND(OR($C34&lt;&gt;"",$D34&lt;&gt;""),$A34=1,$AJ$6="ДА"),IF(A34=1,IF(OR(AND(E34=1,'Ответы учащихся'!V34="KNEW"),AND(E34=2,'Ответы учащихся'!V34="SAW")),1,IF('Ответы учащихся'!V34="N",'Ответы учащихся'!V34,0)),""),"")</f>
        <v>1</v>
      </c>
      <c r="X34" s="98">
        <f>IF(AND(OR($C34&lt;&gt;"",$D34&lt;&gt;""),$A34=1,$AJ$6="ДА"),IF(A34=1,IF(OR(AND(E34=1,'Ответы учащихся'!W34="BROKE"),AND(E34=2,'Ответы учащихся'!W34="WENT")),1,IF('Ответы учащихся'!W34="N",'Ответы учащихся'!W34,0)),""),"")</f>
        <v>1</v>
      </c>
      <c r="Y34" s="98">
        <f>IF(AND(OR($C34&lt;&gt;"",$D34&lt;&gt;""),$A34=1,$AJ$6="ДА"),IF(A34=1,IF(OR(AND(E34=1,'Ответы учащихся'!X34="CAME"),AND(E34=2,'Ответы учащихся'!X34="BEGAN")),1,IF('Ответы учащихся'!X34="N",'Ответы учащихся'!X34,0)),""),"")</f>
        <v>1</v>
      </c>
      <c r="Z34" s="98">
        <f>IF(AND(OR($C34&lt;&gt;"",$D34&lt;&gt;""),$A34=1,$AJ$6="ДА"),IF(A34=1,IF(OR(AND(E34=1,'Ответы учащихся'!Y34="RODE"),AND(E34=2,'Ответы учащихся'!Y34="PUT")),1,IF('Ответы учащихся'!Y34="N",'Ответы учащихся'!Y34,0)),""),"")</f>
        <v>1</v>
      </c>
      <c r="AA34" s="305">
        <f>IF(AND(OR($C34&lt;&gt;"",$D34&lt;&gt;""),$A34=1,$AJ$6="ДА"),IF(A34=1,IF(OR(AND(E34=1,'Ответы учащихся'!Z34="TOOK"),AND(E34=2,'Ответы учащихся'!Z34="LEFT")),1,IF('Ответы учащихся'!Z34="N",'Ответы учащихся'!Z34,0)),""),"")</f>
        <v>1</v>
      </c>
      <c r="AB34" s="477">
        <f>IF(AND(OR($C34&lt;&gt;"",$D34&lt;&gt;""),$A34=1,$AJ$6="ДА"),IF(OR('Ответы учащихся'!AA34="N",'Ответы учащихся'!AL34="N"),"N",('Ответы учащихся'!AA34+'Ответы учащихся'!AL34)),"")</f>
        <v>3</v>
      </c>
      <c r="AC34" s="310" t="b">
        <f t="shared" si="5"/>
        <v>0</v>
      </c>
      <c r="AD34" s="274" t="b">
        <f t="shared" si="6"/>
        <v>0</v>
      </c>
      <c r="AE34" s="274">
        <f t="shared" si="7"/>
        <v>1</v>
      </c>
      <c r="AF34" s="274" t="b">
        <f t="shared" si="8"/>
        <v>0</v>
      </c>
      <c r="AG34" s="274" t="b">
        <f>IF(OR('Ответы учащихся'!AA34="N",'Ответы учащихся'!AL34="N"),1)</f>
        <v>0</v>
      </c>
      <c r="AH34" s="289">
        <f>IF(AND(OR($C34&lt;&gt;"",$D34&lt;&gt;""),$A34=1,$AJ$6="ДА"),IF(A34=1,IF('Ответы учащихся'!AK34="N",'Ответы учащихся'!AK34,AF34+AG34),""),"")</f>
        <v>0</v>
      </c>
      <c r="AI34" s="461">
        <f t="shared" si="9"/>
        <v>25</v>
      </c>
      <c r="AJ34" s="128">
        <f t="shared" si="10"/>
        <v>1</v>
      </c>
      <c r="AK34" s="133">
        <f t="shared" si="11"/>
        <v>11</v>
      </c>
      <c r="AL34" s="269">
        <f t="shared" si="12"/>
        <v>100</v>
      </c>
      <c r="AM34" s="133">
        <f t="shared" si="13"/>
        <v>14</v>
      </c>
      <c r="AN34" s="269">
        <f t="shared" si="14"/>
        <v>100</v>
      </c>
      <c r="AO34" s="435" t="str">
        <f t="shared" si="15"/>
        <v>ВЫСОКИЙ</v>
      </c>
      <c r="AP34" s="427">
        <f t="shared" si="16"/>
        <v>17.068965517241381</v>
      </c>
      <c r="AQ34" s="182">
        <f t="shared" si="17"/>
        <v>0.6827586206896552</v>
      </c>
      <c r="AR34" s="176">
        <v>6</v>
      </c>
      <c r="AS34" s="181">
        <f t="shared" si="18"/>
        <v>69.905956112852664</v>
      </c>
      <c r="AT34" s="183">
        <f>IF(A34=1,IF(OR(AND(E34=1,'Ответы учащихся'!AB34=0.15),AND(E34=2,'Ответы учащихся'!AB34=-2)),1,IF('Ответы учащихся'!AB34="N",'Ответы учащихся'!AB34,0)),"")</f>
        <v>0</v>
      </c>
      <c r="AU34" s="176">
        <f>IF(A34=1,IF(OR(AND(E34=1,'Ответы учащихся'!AC34="м/с"),AND(E34=2,'Ответы учащихся'!AC34="mV0")),1,IF('Ответы учащихся'!AB34="N",'Ответы учащихся'!AB34,0)),"")</f>
        <v>0</v>
      </c>
      <c r="AV34" s="176">
        <f>IF(A34=1,IF(OR(AND(E34=1,'Ответы учащихся'!AD34=-6),AND(E34=2,'Ответы учащихся'!AD34=-10)),1,IF('Ответы учащихся'!AE34="N",'Ответы учащихся'!AE34,0)),"")</f>
        <v>0</v>
      </c>
      <c r="AW34" s="176">
        <f>IF(A34=1,IF(OR(AND(E34=1,'Ответы учащихся'!AE34="Нм"),AND(E34=2,'Ответы учащихся'!AE34="Нм")),1,IF('Ответы учащихся'!AE34="N",'Ответы учащихся'!AE34,0)),"")</f>
        <v>0</v>
      </c>
      <c r="AX34" s="176">
        <f>IF(A34=1,IF(OR(AND(E34=1,'Ответы учащихся'!AF34=250),AND(E34=2,'Ответы учащихся'!AF34=500)),1,IF('Ответы учащихся'!AF34="N",'Ответы учащихся'!AF34,0)),"")</f>
        <v>0</v>
      </c>
      <c r="AY34" s="176">
        <f>IF(A34=1,IF(OR(AND(E34=1,'Ответы учащихся'!AG34="м"),AND(E34=2,'Ответы учащихся'!AG34="Па")),1,IF('Ответы учащихся'!AF34="N",'Ответы учащихся'!AF34,0)),"")</f>
        <v>0</v>
      </c>
      <c r="AZ34" s="177" t="str">
        <f>IF(E34=1,(IF('Ответы учащихся'!N34=3,1,IF('Ответы учащихся'!N34="N",'Ответы учащихся'!N34,0))),"")</f>
        <v/>
      </c>
      <c r="BA34" s="178">
        <f>IF(E34=2,IF('Ответы учащихся'!N34=1,1,(IF('Ответы учащихся'!N34="N",'Ответы учащихся'!N34,0))),"")</f>
        <v>0</v>
      </c>
      <c r="BB34" s="179" t="str">
        <f>IF(E34=1,IF('Ответы учащихся'!O34=3,1,IF('Ответы учащихся'!O34="N",'Ответы учащихся'!O34,0)),"")</f>
        <v/>
      </c>
      <c r="BC34" s="178">
        <f>IF(E34=2,IF('Ответы учащихся'!O34=2,1,IF('Ответы учащихся'!O34="N",'Ответы учащихся'!O34,0)),"")</f>
        <v>0</v>
      </c>
      <c r="BD34" s="179" t="str">
        <f>IF(E34=1,IF('Ответы учащихся'!P34=1,1,IF('Ответы учащихся'!P34="N",'Ответы учащихся'!P34,0)),"")</f>
        <v/>
      </c>
      <c r="BE34" s="178">
        <f>IF(E34=2,IF('Ответы учащихся'!P34=1,1,IF('Ответы учащихся'!P34="N",'Ответы учащихся'!P34,0)),"")</f>
        <v>0</v>
      </c>
      <c r="BF34" s="176"/>
      <c r="BG34" s="176"/>
      <c r="BH34" s="176"/>
      <c r="BI34" s="176"/>
      <c r="BJ34" s="6"/>
      <c r="BK34" s="6"/>
      <c r="BL34" s="6"/>
      <c r="BM34" s="6"/>
      <c r="BN34" s="6"/>
      <c r="BO34" s="6"/>
    </row>
    <row r="35" spans="1:67" ht="12.75" customHeight="1">
      <c r="A35" s="12">
        <f>IF('СПИСОК КЛАССА'!J35&gt;0,1,0)</f>
        <v>1</v>
      </c>
      <c r="B35" s="313">
        <v>16</v>
      </c>
      <c r="C35" s="314">
        <f>IF(NOT(ISBLANK('СПИСОК КЛАССА'!C35)),'СПИСОК КЛАССА'!C35,"")</f>
        <v>16</v>
      </c>
      <c r="D35" s="314" t="str">
        <f>IF(NOT(ISBLANK('СПИСОК КЛАССА'!D35)),IF($A35=1,'СПИСОК КЛАССА'!D35, "УЧЕНИК НЕ ВЫПОЛНЯЛ РАБОТУ"),"")</f>
        <v>КОРЯКИН СЕМЕН</v>
      </c>
      <c r="E35" s="287">
        <f>IF($C35&lt;&gt;"",'СПИСОК КЛАССА'!J35,"")</f>
        <v>2</v>
      </c>
      <c r="F35" s="441">
        <f>IF(AND(OR($C35&lt;&gt;"",$D35&lt;&gt;""),$A35=1,$AJ$6="ДА"),(IF(A35=1,IF(OR(AND(E35=1,'Ответы учащихся'!E35=1),AND(E35=2,'Ответы учащихся'!E35=3)),1,IF('Ответы учащихся'!E35="N",'Ответы учащихся'!E35,0)),"")),"")</f>
        <v>1</v>
      </c>
      <c r="G35" s="442">
        <f>IF(AND(OR($C35&lt;&gt;"",$D35&lt;&gt;""),$A35=1,$AJ$6="ДА"),(IF(A35=1,IF(OR(AND(E35=1,'Ответы учащихся'!F35=2),AND(E35=2,'Ответы учащихся'!F35=3)),1,IF('Ответы учащихся'!F35="N",'Ответы учащихся'!F35,0)),"")),"")</f>
        <v>1</v>
      </c>
      <c r="H35" s="304">
        <f>IF(AND(OR($C35&lt;&gt;"",$D35&lt;&gt;""),$A35=1,$AJ$6="ДА"),IF(A35=1,IF(OR(AND(E35=1,'Ответы учащихся'!G35="GIRL"),AND(E35=2,'Ответы учащихся'!G35="YEARS")),1,IF('Ответы учащихся'!G35="N",'Ответы учащихся'!G35,0)),""),"")</f>
        <v>0</v>
      </c>
      <c r="I35" s="98">
        <f>IF(AND(OR($C35&lt;&gt;"",$D35&lt;&gt;""),$A35=1,$AJ$6="ДА"),IF(A35=1,IF(OR(AND(E35=1,'Ответы учащихся'!H35="SHOUTED"),AND(E35=2,'Ответы учащихся'!H35="HER")),1,IF('Ответы учащихся'!H35="N",'Ответы учащихся'!H35,0)),""),"")</f>
        <v>1</v>
      </c>
      <c r="J35" s="98">
        <f>IF(AND(OR($C35&lt;&gt;"",$D35&lt;&gt;""),$A35=1,$AJ$6="ДА"),IF(A35=1,IF(OR(AND(E35=1,'Ответы учащихся'!I35="ZOO"),AND(E35=2,'Ответы учащихся'!I35="HUSBAND")),1,IF('Ответы учащихся'!I35="N",'Ответы учащихся'!I35,0)),""),"")</f>
        <v>0</v>
      </c>
      <c r="K35" s="98">
        <f>IF(AND(OR($C35&lt;&gt;"",$D35&lt;&gt;""),$A35=1,$AJ$6="ДА"),IF(A35=1,IF(OR(AND(E35=1,'Ответы учащихся'!J35="AT"),AND(E35=2,'Ответы учащихся'!J35="LIVE")),1,IF('Ответы учащихся'!J35="N",'Ответы учащихся'!J35,0)),""),"")</f>
        <v>1</v>
      </c>
      <c r="L35" s="98">
        <f>IF(AND(OR($C35&lt;&gt;"",$D35&lt;&gt;""),$A35=1,$AJ$6="ДА"),IF(A35=1,IF(OR(AND(E35=1,'Ответы учащихся'!K35="SAID"),AND(E35=2,'Ответы учащихся'!K35="MUCH")),1,IF('Ответы учащихся'!K35="N",'Ответы учащихся'!K35,0)),""),"")</f>
        <v>1</v>
      </c>
      <c r="M35" s="98">
        <f>IF(AND(OR($C35&lt;&gt;"",$D35&lt;&gt;""),$A35=1,$AJ$6="ДА"),IF(A35=1,IF(OR(AND(E35=1,'Ответы учащихся'!L35="MORNING"),AND(E35=2,'Ответы учащихся'!L35="SHEEP")),1,IF('Ответы учащихся'!L35="N",'Ответы учащихся'!L35,0)),""),"")</f>
        <v>0</v>
      </c>
      <c r="N35" s="98">
        <f>IF(AND(OR($C35&lt;&gt;"",$D35&lt;&gt;""),$A35=1,$AJ$6="ДА"),IF(A35=1,IF(OR(AND(E35=1,'Ответы учащихся'!M35="MUCH"),AND(E35=2,'Ответы учащихся'!M35="SELL")),1,IF('Ответы учащихся'!M35="N",'Ответы учащихся'!M35,0)),""),"")</f>
        <v>0</v>
      </c>
      <c r="O35" s="131">
        <f>IF(AND(OR($C35&lt;&gt;"",$D35&lt;&gt;""),$A35=1,$AJ$6="ДА"),IF(A35=1,IF(OR(AND(E35=1,'Ответы учащихся'!N35="LIKE"),AND(E35=2,'Ответы учащихся'!N35="IN")),1,IF('Ответы учащихся'!N35="N",'Ответы учащихся'!N35,0)),""),"")</f>
        <v>0</v>
      </c>
      <c r="P35" s="98">
        <f>IF(AND(OR($C35&lt;&gt;"",$D35&lt;&gt;""),$A35=1,$AJ$6="ДА"),IF(A35=1,IF(OR(AND(E35=1,'Ответы учащихся'!O35="ANIMALS"),AND(E35=2,'Ответы учащихся'!O35="CLOTHES")),1,IF('Ответы учащихся'!O35="N",'Ответы учащихся'!O35,0)),""),"")</f>
        <v>0</v>
      </c>
      <c r="Q35" s="98">
        <f>IF(AND(OR($C35&lt;&gt;"",$D35&lt;&gt;""),$A35=1,$AJ$6="ДА"),IF(A35=1,IF(OR(AND(E35=1,'Ответы учащихся'!P35="WE"),AND(E35=2,'Ответы учащихся'!P35="GOES")),1,IF('Ответы учащихся'!P35="N",'Ответы учащихся'!P35,0)),""),"")</f>
        <v>1</v>
      </c>
      <c r="R35" s="98">
        <f>IF(AND(OR($C35&lt;&gt;"",$D35&lt;&gt;""),$A35=1,$AJ$6="ДА"),IF(A35=1,IF(OR(AND(E35=1,'Ответы учащихся'!Q35="ASKED"),AND(E35=2,'Ответы учащихся'!Q35="MADE")),1,IF('Ответы учащихся'!Q35="N",'Ответы учащихся'!Q35,0)),""),"")</f>
        <v>0</v>
      </c>
      <c r="S35" s="98">
        <f>IF(AND(OR($C35&lt;&gt;"",$D35&lt;&gt;""),$A35=1,$AJ$6="ДА"),IF(A35=1,IF(OR(AND(E35=1,'Ответы учащихся'!R35="LOST"),AND(E35=2,'Ответы учащихся'!R35="GOT")),1,IF('Ответы учащихся'!R35="N",'Ответы учащихся'!R35,0)),""),"")</f>
        <v>0</v>
      </c>
      <c r="T35" s="98">
        <f>IF(AND(OR($C35&lt;&gt;"",$D35&lt;&gt;""),$A35=1,$AJ$6="ДА"),IF(A35=1,IF(OR(AND(E35=1,'Ответы учащихся'!S35="GOT"),AND(E35=2,'Ответы учащихся'!S35="CAME")),1,IF('Ответы учащихся'!S35="N",'Ответы учащихся'!S35,0)),""),"")</f>
        <v>0</v>
      </c>
      <c r="U35" s="98">
        <f>IF(AND(OR($C35&lt;&gt;"",$D35&lt;&gt;""),$A35=1,$AJ$6="ДА"),IF(A35=1,IF(OR(AND(E35=1,'Ответы учащихся'!T35="SAW"),AND(E35=2,'Ответы учащихся'!T35="OPENED")),1,IF('Ответы учащихся'!T35="N",'Ответы учащихся'!T35,0)),""),"")</f>
        <v>0</v>
      </c>
      <c r="V35" s="98">
        <f>IF(AND(OR($C35&lt;&gt;"",$D35&lt;&gt;""),$A35=1,$AJ$6="ДА"),IF(A35=1,IF(OR(AND(E35=1,'Ответы учащихся'!U35="WAS"),AND(E35=2,'Ответы учащихся'!U35="TRIED")),1,IF('Ответы учащихся'!U35="N",'Ответы учащихся'!U35,0)),""),"")</f>
        <v>0</v>
      </c>
      <c r="W35" s="98">
        <f>IF(AND(OR($C35&lt;&gt;"",$D35&lt;&gt;""),$A35=1,$AJ$6="ДА"),IF(A35=1,IF(OR(AND(E35=1,'Ответы учащихся'!V35="KNEW"),AND(E35=2,'Ответы учащихся'!V35="SAW")),1,IF('Ответы учащихся'!V35="N",'Ответы учащихся'!V35,0)),""),"")</f>
        <v>0</v>
      </c>
      <c r="X35" s="98">
        <f>IF(AND(OR($C35&lt;&gt;"",$D35&lt;&gt;""),$A35=1,$AJ$6="ДА"),IF(A35=1,IF(OR(AND(E35=1,'Ответы учащихся'!W35="BROKE"),AND(E35=2,'Ответы учащихся'!W35="WENT")),1,IF('Ответы учащихся'!W35="N",'Ответы учащихся'!W35,0)),""),"")</f>
        <v>0</v>
      </c>
      <c r="Y35" s="98">
        <f>IF(AND(OR($C35&lt;&gt;"",$D35&lt;&gt;""),$A35=1,$AJ$6="ДА"),IF(A35=1,IF(OR(AND(E35=1,'Ответы учащихся'!X35="CAME"),AND(E35=2,'Ответы учащихся'!X35="BEGAN")),1,IF('Ответы учащихся'!X35="N",'Ответы учащихся'!X35,0)),""),"")</f>
        <v>1</v>
      </c>
      <c r="Z35" s="98">
        <f>IF(AND(OR($C35&lt;&gt;"",$D35&lt;&gt;""),$A35=1,$AJ$6="ДА"),IF(A35=1,IF(OR(AND(E35=1,'Ответы учащихся'!Y35="RODE"),AND(E35=2,'Ответы учащихся'!Y35="PUT")),1,IF('Ответы учащихся'!Y35="N",'Ответы учащихся'!Y35,0)),""),"")</f>
        <v>1</v>
      </c>
      <c r="AA35" s="305">
        <f>IF(AND(OR($C35&lt;&gt;"",$D35&lt;&gt;""),$A35=1,$AJ$6="ДА"),IF(A35=1,IF(OR(AND(E35=1,'Ответы учащихся'!Z35="TOOK"),AND(E35=2,'Ответы учащихся'!Z35="LEFT")),1,IF('Ответы учащихся'!Z35="N",'Ответы учащихся'!Z35,0)),""),"")</f>
        <v>0</v>
      </c>
      <c r="AB35" s="477">
        <f>IF(AND(OR($C35&lt;&gt;"",$D35&lt;&gt;""),$A35=1,$AJ$6="ДА"),IF(OR('Ответы учащихся'!AA35="N",'Ответы учащихся'!AL35="N"),"N",('Ответы учащихся'!AA35+'Ответы учащихся'!AL35)),"")</f>
        <v>0</v>
      </c>
      <c r="AC35" s="310" t="b">
        <f t="shared" si="5"/>
        <v>0</v>
      </c>
      <c r="AD35" s="274" t="b">
        <f t="shared" si="6"/>
        <v>0</v>
      </c>
      <c r="AE35" s="274" t="b">
        <f t="shared" si="7"/>
        <v>0</v>
      </c>
      <c r="AF35" s="274">
        <f t="shared" si="8"/>
        <v>1</v>
      </c>
      <c r="AG35" s="274" t="b">
        <f>IF(OR('Ответы учащихся'!AA35="N",'Ответы учащихся'!AL35="N"),1)</f>
        <v>0</v>
      </c>
      <c r="AH35" s="289">
        <f>IF(AND(OR($C35&lt;&gt;"",$D35&lt;&gt;""),$A35=1,$AJ$6="ДА"),IF(A35=1,IF('Ответы учащихся'!AK35="N",'Ответы учащихся'!AK35,AF35+AG35),""),"")</f>
        <v>1</v>
      </c>
      <c r="AI35" s="461">
        <f t="shared" si="9"/>
        <v>8</v>
      </c>
      <c r="AJ35" s="128">
        <f t="shared" si="10"/>
        <v>0.32</v>
      </c>
      <c r="AK35" s="133">
        <f t="shared" si="11"/>
        <v>5</v>
      </c>
      <c r="AL35" s="269">
        <f t="shared" si="12"/>
        <v>45.454545454545453</v>
      </c>
      <c r="AM35" s="133">
        <f t="shared" si="13"/>
        <v>3</v>
      </c>
      <c r="AN35" s="269">
        <f t="shared" si="14"/>
        <v>21.428571428571427</v>
      </c>
      <c r="AO35" s="435" t="str">
        <f t="shared" si="15"/>
        <v>НИЗКИЙ</v>
      </c>
      <c r="AP35" s="427">
        <f t="shared" si="16"/>
        <v>17.068965517241381</v>
      </c>
      <c r="AQ35" s="182">
        <f t="shared" si="17"/>
        <v>0.6827586206896552</v>
      </c>
      <c r="AR35" s="176">
        <v>6</v>
      </c>
      <c r="AS35" s="181">
        <f t="shared" si="18"/>
        <v>69.905956112852664</v>
      </c>
      <c r="AT35" s="183">
        <f>IF(A35=1,IF(OR(AND(E35=1,'Ответы учащихся'!AB35=0.15),AND(E35=2,'Ответы учащихся'!AB35=-2)),1,IF('Ответы учащихся'!AB35="N",'Ответы учащихся'!AB35,0)),"")</f>
        <v>0</v>
      </c>
      <c r="AU35" s="176">
        <f>IF(A35=1,IF(OR(AND(E35=1,'Ответы учащихся'!AC35="м/с"),AND(E35=2,'Ответы учащихся'!AC35="mV0")),1,IF('Ответы учащихся'!AB35="N",'Ответы учащихся'!AB35,0)),"")</f>
        <v>0</v>
      </c>
      <c r="AV35" s="176">
        <f>IF(A35=1,IF(OR(AND(E35=1,'Ответы учащихся'!AD35=-6),AND(E35=2,'Ответы учащихся'!AD35=-10)),1,IF('Ответы учащихся'!AE35="N",'Ответы учащихся'!AE35,0)),"")</f>
        <v>0</v>
      </c>
      <c r="AW35" s="176">
        <f>IF(A35=1,IF(OR(AND(E35=1,'Ответы учащихся'!AE35="Нм"),AND(E35=2,'Ответы учащихся'!AE35="Нм")),1,IF('Ответы учащихся'!AE35="N",'Ответы учащихся'!AE35,0)),"")</f>
        <v>0</v>
      </c>
      <c r="AX35" s="176">
        <f>IF(A35=1,IF(OR(AND(E35=1,'Ответы учащихся'!AF35=250),AND(E35=2,'Ответы учащихся'!AF35=500)),1,IF('Ответы учащихся'!AF35="N",'Ответы учащихся'!AF35,0)),"")</f>
        <v>0</v>
      </c>
      <c r="AY35" s="176">
        <f>IF(A35=1,IF(OR(AND(E35=1,'Ответы учащихся'!AG35="м"),AND(E35=2,'Ответы учащихся'!AG35="Па")),1,IF('Ответы учащихся'!AF35="N",'Ответы учащихся'!AF35,0)),"")</f>
        <v>0</v>
      </c>
      <c r="AZ35" s="177" t="str">
        <f>IF(E35=1,(IF('Ответы учащихся'!N35=3,1,IF('Ответы учащихся'!N35="N",'Ответы учащихся'!N35,0))),"")</f>
        <v/>
      </c>
      <c r="BA35" s="178">
        <f>IF(E35=2,IF('Ответы учащихся'!N35=1,1,(IF('Ответы учащихся'!N35="N",'Ответы учащихся'!N35,0))),"")</f>
        <v>0</v>
      </c>
      <c r="BB35" s="179" t="str">
        <f>IF(E35=1,IF('Ответы учащихся'!O35=3,1,IF('Ответы учащихся'!O35="N",'Ответы учащихся'!O35,0)),"")</f>
        <v/>
      </c>
      <c r="BC35" s="178">
        <f>IF(E35=2,IF('Ответы учащихся'!O35=2,1,IF('Ответы учащихся'!O35="N",'Ответы учащихся'!O35,0)),"")</f>
        <v>0</v>
      </c>
      <c r="BD35" s="179" t="str">
        <f>IF(E35=1,IF('Ответы учащихся'!P35=1,1,IF('Ответы учащихся'!P35="N",'Ответы учащихся'!P35,0)),"")</f>
        <v/>
      </c>
      <c r="BE35" s="178">
        <f>IF(E35=2,IF('Ответы учащихся'!P35=1,1,IF('Ответы учащихся'!P35="N",'Ответы учащихся'!P35,0)),"")</f>
        <v>0</v>
      </c>
      <c r="BF35" s="176"/>
      <c r="BG35" s="176"/>
      <c r="BH35" s="176"/>
      <c r="BI35" s="176"/>
      <c r="BJ35" s="6"/>
      <c r="BK35" s="6"/>
      <c r="BL35" s="6"/>
      <c r="BM35" s="6"/>
      <c r="BN35" s="6"/>
      <c r="BO35" s="6"/>
    </row>
    <row r="36" spans="1:67" ht="12.75" customHeight="1">
      <c r="A36" s="12">
        <f>IF('СПИСОК КЛАССА'!J36&gt;0,1,0)</f>
        <v>1</v>
      </c>
      <c r="B36" s="313">
        <v>17</v>
      </c>
      <c r="C36" s="314">
        <f>IF(NOT(ISBLANK('СПИСОК КЛАССА'!C36)),'СПИСОК КЛАССА'!C36,"")</f>
        <v>17</v>
      </c>
      <c r="D36" s="314" t="str">
        <f>IF(NOT(ISBLANK('СПИСОК КЛАССА'!D36)),IF($A36=1,'СПИСОК КЛАССА'!D36, "УЧЕНИК НЕ ВЫПОЛНЯЛ РАБОТУ"),"")</f>
        <v>КУПРИЯНОВА ПОЛИНА</v>
      </c>
      <c r="E36" s="287">
        <f>IF($C36&lt;&gt;"",'СПИСОК КЛАССА'!J36,"")</f>
        <v>1</v>
      </c>
      <c r="F36" s="441">
        <f>IF(AND(OR($C36&lt;&gt;"",$D36&lt;&gt;""),$A36=1,$AJ$6="ДА"),(IF(A36=1,IF(OR(AND(E36=1,'Ответы учащихся'!E36=1),AND(E36=2,'Ответы учащихся'!E36=3)),1,IF('Ответы учащихся'!E36="N",'Ответы учащихся'!E36,0)),"")),"")</f>
        <v>1</v>
      </c>
      <c r="G36" s="442">
        <f>IF(AND(OR($C36&lt;&gt;"",$D36&lt;&gt;""),$A36=1,$AJ$6="ДА"),(IF(A36=1,IF(OR(AND(E36=1,'Ответы учащихся'!F36=2),AND(E36=2,'Ответы учащихся'!F36=3)),1,IF('Ответы учащихся'!F36="N",'Ответы учащихся'!F36,0)),"")),"")</f>
        <v>1</v>
      </c>
      <c r="H36" s="304">
        <f>IF(AND(OR($C36&lt;&gt;"",$D36&lt;&gt;""),$A36=1,$AJ$6="ДА"),IF(A36=1,IF(OR(AND(E36=1,'Ответы учащихся'!G36="GIRL"),AND(E36=2,'Ответы учащихся'!G36="YEARS")),1,IF('Ответы учащихся'!G36="N",'Ответы учащихся'!G36,0)),""),"")</f>
        <v>1</v>
      </c>
      <c r="I36" s="98">
        <f>IF(AND(OR($C36&lt;&gt;"",$D36&lt;&gt;""),$A36=1,$AJ$6="ДА"),IF(A36=1,IF(OR(AND(E36=1,'Ответы учащихся'!H36="SHOUTED"),AND(E36=2,'Ответы учащихся'!H36="HER")),1,IF('Ответы учащихся'!H36="N",'Ответы учащихся'!H36,0)),""),"")</f>
        <v>1</v>
      </c>
      <c r="J36" s="98">
        <f>IF(AND(OR($C36&lt;&gt;"",$D36&lt;&gt;""),$A36=1,$AJ$6="ДА"),IF(A36=1,IF(OR(AND(E36=1,'Ответы учащихся'!I36="ZOO"),AND(E36=2,'Ответы учащихся'!I36="HUSBAND")),1,IF('Ответы учащихся'!I36="N",'Ответы учащихся'!I36,0)),""),"")</f>
        <v>1</v>
      </c>
      <c r="K36" s="98">
        <f>IF(AND(OR($C36&lt;&gt;"",$D36&lt;&gt;""),$A36=1,$AJ$6="ДА"),IF(A36=1,IF(OR(AND(E36=1,'Ответы учащихся'!J36="AT"),AND(E36=2,'Ответы учащихся'!J36="LIVE")),1,IF('Ответы учащихся'!J36="N",'Ответы учащихся'!J36,0)),""),"")</f>
        <v>0</v>
      </c>
      <c r="L36" s="98">
        <f>IF(AND(OR($C36&lt;&gt;"",$D36&lt;&gt;""),$A36=1,$AJ$6="ДА"),IF(A36=1,IF(OR(AND(E36=1,'Ответы учащихся'!K36="SAID"),AND(E36=2,'Ответы учащихся'!K36="MUCH")),1,IF('Ответы учащихся'!K36="N",'Ответы учащихся'!K36,0)),""),"")</f>
        <v>1</v>
      </c>
      <c r="M36" s="98">
        <f>IF(AND(OR($C36&lt;&gt;"",$D36&lt;&gt;""),$A36=1,$AJ$6="ДА"),IF(A36=1,IF(OR(AND(E36=1,'Ответы учащихся'!L36="MORNING"),AND(E36=2,'Ответы учащихся'!L36="SHEEP")),1,IF('Ответы учащихся'!L36="N",'Ответы учащихся'!L36,0)),""),"")</f>
        <v>1</v>
      </c>
      <c r="N36" s="98">
        <f>IF(AND(OR($C36&lt;&gt;"",$D36&lt;&gt;""),$A36=1,$AJ$6="ДА"),IF(A36=1,IF(OR(AND(E36=1,'Ответы учащихся'!M36="MUCH"),AND(E36=2,'Ответы учащихся'!M36="SELL")),1,IF('Ответы учащихся'!M36="N",'Ответы учащихся'!M36,0)),""),"")</f>
        <v>1</v>
      </c>
      <c r="O36" s="131">
        <f>IF(AND(OR($C36&lt;&gt;"",$D36&lt;&gt;""),$A36=1,$AJ$6="ДА"),IF(A36=1,IF(OR(AND(E36=1,'Ответы учащихся'!N36="LIKE"),AND(E36=2,'Ответы учащихся'!N36="IN")),1,IF('Ответы учащихся'!N36="N",'Ответы учащихся'!N36,0)),""),"")</f>
        <v>0</v>
      </c>
      <c r="P36" s="98">
        <f>IF(AND(OR($C36&lt;&gt;"",$D36&lt;&gt;""),$A36=1,$AJ$6="ДА"),IF(A36=1,IF(OR(AND(E36=1,'Ответы учащихся'!O36="ANIMALS"),AND(E36=2,'Ответы учащихся'!O36="CLOTHES")),1,IF('Ответы учащихся'!O36="N",'Ответы учащихся'!O36,0)),""),"")</f>
        <v>1</v>
      </c>
      <c r="Q36" s="98">
        <f>IF(AND(OR($C36&lt;&gt;"",$D36&lt;&gt;""),$A36=1,$AJ$6="ДА"),IF(A36=1,IF(OR(AND(E36=1,'Ответы учащихся'!P36="WE"),AND(E36=2,'Ответы учащихся'!P36="GOES")),1,IF('Ответы учащихся'!P36="N",'Ответы учащихся'!P36,0)),""),"")</f>
        <v>1</v>
      </c>
      <c r="R36" s="98">
        <f>IF(AND(OR($C36&lt;&gt;"",$D36&lt;&gt;""),$A36=1,$AJ$6="ДА"),IF(A36=1,IF(OR(AND(E36=1,'Ответы учащихся'!Q36="ASKED"),AND(E36=2,'Ответы учащихся'!Q36="MADE")),1,IF('Ответы учащихся'!Q36="N",'Ответы учащихся'!Q36,0)),""),"")</f>
        <v>1</v>
      </c>
      <c r="S36" s="98">
        <f>IF(AND(OR($C36&lt;&gt;"",$D36&lt;&gt;""),$A36=1,$AJ$6="ДА"),IF(A36=1,IF(OR(AND(E36=1,'Ответы учащихся'!R36="LOST"),AND(E36=2,'Ответы учащихся'!R36="GOT")),1,IF('Ответы учащихся'!R36="N",'Ответы учащихся'!R36,0)),""),"")</f>
        <v>1</v>
      </c>
      <c r="T36" s="98">
        <f>IF(AND(OR($C36&lt;&gt;"",$D36&lt;&gt;""),$A36=1,$AJ$6="ДА"),IF(A36=1,IF(OR(AND(E36=1,'Ответы учащихся'!S36="GOT"),AND(E36=2,'Ответы учащихся'!S36="CAME")),1,IF('Ответы учащихся'!S36="N",'Ответы учащихся'!S36,0)),""),"")</f>
        <v>1</v>
      </c>
      <c r="U36" s="98">
        <f>IF(AND(OR($C36&lt;&gt;"",$D36&lt;&gt;""),$A36=1,$AJ$6="ДА"),IF(A36=1,IF(OR(AND(E36=1,'Ответы учащихся'!T36="SAW"),AND(E36=2,'Ответы учащихся'!T36="OPENED")),1,IF('Ответы учащихся'!T36="N",'Ответы учащихся'!T36,0)),""),"")</f>
        <v>1</v>
      </c>
      <c r="V36" s="98">
        <f>IF(AND(OR($C36&lt;&gt;"",$D36&lt;&gt;""),$A36=1,$AJ$6="ДА"),IF(A36=1,IF(OR(AND(E36=1,'Ответы учащихся'!U36="WAS"),AND(E36=2,'Ответы учащихся'!U36="TRIED")),1,IF('Ответы учащихся'!U36="N",'Ответы учащихся'!U36,0)),""),"")</f>
        <v>1</v>
      </c>
      <c r="W36" s="98">
        <f>IF(AND(OR($C36&lt;&gt;"",$D36&lt;&gt;""),$A36=1,$AJ$6="ДА"),IF(A36=1,IF(OR(AND(E36=1,'Ответы учащихся'!V36="KNEW"),AND(E36=2,'Ответы учащихся'!V36="SAW")),1,IF('Ответы учащихся'!V36="N",'Ответы учащихся'!V36,0)),""),"")</f>
        <v>1</v>
      </c>
      <c r="X36" s="98">
        <f>IF(AND(OR($C36&lt;&gt;"",$D36&lt;&gt;""),$A36=1,$AJ$6="ДА"),IF(A36=1,IF(OR(AND(E36=1,'Ответы учащихся'!W36="BROKE"),AND(E36=2,'Ответы учащихся'!W36="WENT")),1,IF('Ответы учащихся'!W36="N",'Ответы учащихся'!W36,0)),""),"")</f>
        <v>1</v>
      </c>
      <c r="Y36" s="98">
        <f>IF(AND(OR($C36&lt;&gt;"",$D36&lt;&gt;""),$A36=1,$AJ$6="ДА"),IF(A36=1,IF(OR(AND(E36=1,'Ответы учащихся'!X36="CAME"),AND(E36=2,'Ответы учащихся'!X36="BEGAN")),1,IF('Ответы учащихся'!X36="N",'Ответы учащихся'!X36,0)),""),"")</f>
        <v>1</v>
      </c>
      <c r="Z36" s="98">
        <f>IF(AND(OR($C36&lt;&gt;"",$D36&lt;&gt;""),$A36=1,$AJ$6="ДА"),IF(A36=1,IF(OR(AND(E36=1,'Ответы учащихся'!Y36="RODE"),AND(E36=2,'Ответы учащихся'!Y36="PUT")),1,IF('Ответы учащихся'!Y36="N",'Ответы учащихся'!Y36,0)),""),"")</f>
        <v>1</v>
      </c>
      <c r="AA36" s="305">
        <f>IF(AND(OR($C36&lt;&gt;"",$D36&lt;&gt;""),$A36=1,$AJ$6="ДА"),IF(A36=1,IF(OR(AND(E36=1,'Ответы учащихся'!Z36="TOOK"),AND(E36=2,'Ответы учащихся'!Z36="LEFT")),1,IF('Ответы учащихся'!Z36="N",'Ответы учащихся'!Z36,0)),""),"")</f>
        <v>1</v>
      </c>
      <c r="AB36" s="477">
        <f>IF(AND(OR($C36&lt;&gt;"",$D36&lt;&gt;""),$A36=1,$AJ$6="ДА"),IF(OR('Ответы учащихся'!AA36="N",'Ответы учащихся'!AL36="N"),"N",('Ответы учащихся'!AA36+'Ответы учащихся'!AL36)),"")</f>
        <v>2</v>
      </c>
      <c r="AC36" s="310" t="b">
        <f t="shared" si="5"/>
        <v>0</v>
      </c>
      <c r="AD36" s="274">
        <f t="shared" si="6"/>
        <v>1</v>
      </c>
      <c r="AE36" s="274" t="b">
        <f t="shared" si="7"/>
        <v>0</v>
      </c>
      <c r="AF36" s="274" t="b">
        <f t="shared" si="8"/>
        <v>0</v>
      </c>
      <c r="AG36" s="274" t="b">
        <f>IF(OR('Ответы учащихся'!AA36="N",'Ответы учащихся'!AL36="N"),1)</f>
        <v>0</v>
      </c>
      <c r="AH36" s="289">
        <f>IF(AND(OR($C36&lt;&gt;"",$D36&lt;&gt;""),$A36=1,$AJ$6="ДА"),IF(A36=1,IF('Ответы учащихся'!AK36="N",'Ответы учащихся'!AK36,AF36+AG36),""),"")</f>
        <v>0</v>
      </c>
      <c r="AI36" s="461">
        <f t="shared" si="9"/>
        <v>22</v>
      </c>
      <c r="AJ36" s="128">
        <f t="shared" si="10"/>
        <v>0.88</v>
      </c>
      <c r="AK36" s="133">
        <f t="shared" si="11"/>
        <v>9</v>
      </c>
      <c r="AL36" s="269">
        <f t="shared" si="12"/>
        <v>81.818181818181827</v>
      </c>
      <c r="AM36" s="133">
        <f t="shared" si="13"/>
        <v>13</v>
      </c>
      <c r="AN36" s="269">
        <f t="shared" si="14"/>
        <v>92.857142857142861</v>
      </c>
      <c r="AO36" s="435" t="str">
        <f t="shared" si="15"/>
        <v>ПОВЫШЕННЫЙ</v>
      </c>
      <c r="AP36" s="427">
        <f t="shared" si="16"/>
        <v>17.068965517241381</v>
      </c>
      <c r="AQ36" s="182">
        <f t="shared" si="17"/>
        <v>0.6827586206896552</v>
      </c>
      <c r="AR36" s="176">
        <v>6</v>
      </c>
      <c r="AS36" s="181">
        <f t="shared" si="18"/>
        <v>69.905956112852664</v>
      </c>
      <c r="AT36" s="183">
        <f>IF(A36=1,IF(OR(AND(E36=1,'Ответы учащихся'!AB36=0.15),AND(E36=2,'Ответы учащихся'!AB36=-2)),1,IF('Ответы учащихся'!AB36="N",'Ответы учащихся'!AB36,0)),"")</f>
        <v>0</v>
      </c>
      <c r="AU36" s="176">
        <f>IF(A36=1,IF(OR(AND(E36=1,'Ответы учащихся'!AC36="м/с"),AND(E36=2,'Ответы учащихся'!AC36="mV0")),1,IF('Ответы учащихся'!AB36="N",'Ответы учащихся'!AB36,0)),"")</f>
        <v>0</v>
      </c>
      <c r="AV36" s="176">
        <f>IF(A36=1,IF(OR(AND(E36=1,'Ответы учащихся'!AD36=-6),AND(E36=2,'Ответы учащихся'!AD36=-10)),1,IF('Ответы учащихся'!AE36="N",'Ответы учащихся'!AE36,0)),"")</f>
        <v>0</v>
      </c>
      <c r="AW36" s="176">
        <f>IF(A36=1,IF(OR(AND(E36=1,'Ответы учащихся'!AE36="Нм"),AND(E36=2,'Ответы учащихся'!AE36="Нм")),1,IF('Ответы учащихся'!AE36="N",'Ответы учащихся'!AE36,0)),"")</f>
        <v>0</v>
      </c>
      <c r="AX36" s="176">
        <f>IF(A36=1,IF(OR(AND(E36=1,'Ответы учащихся'!AF36=250),AND(E36=2,'Ответы учащихся'!AF36=500)),1,IF('Ответы учащихся'!AF36="N",'Ответы учащихся'!AF36,0)),"")</f>
        <v>0</v>
      </c>
      <c r="AY36" s="176">
        <f>IF(A36=1,IF(OR(AND(E36=1,'Ответы учащихся'!AG36="м"),AND(E36=2,'Ответы учащихся'!AG36="Па")),1,IF('Ответы учащихся'!AF36="N",'Ответы учащихся'!AF36,0)),"")</f>
        <v>0</v>
      </c>
      <c r="AZ36" s="177">
        <f>IF(E36=1,(IF('Ответы учащихся'!N36=3,1,IF('Ответы учащихся'!N36="N",'Ответы учащихся'!N36,0))),"")</f>
        <v>0</v>
      </c>
      <c r="BA36" s="178" t="str">
        <f>IF(E36=2,IF('Ответы учащихся'!N36=1,1,(IF('Ответы учащихся'!N36="N",'Ответы учащихся'!N36,0))),"")</f>
        <v/>
      </c>
      <c r="BB36" s="179">
        <f>IF(E36=1,IF('Ответы учащихся'!O36=3,1,IF('Ответы учащихся'!O36="N",'Ответы учащихся'!O36,0)),"")</f>
        <v>0</v>
      </c>
      <c r="BC36" s="178" t="str">
        <f>IF(E36=2,IF('Ответы учащихся'!O36=2,1,IF('Ответы учащихся'!O36="N",'Ответы учащихся'!O36,0)),"")</f>
        <v/>
      </c>
      <c r="BD36" s="179">
        <f>IF(E36=1,IF('Ответы учащихся'!P36=1,1,IF('Ответы учащихся'!P36="N",'Ответы учащихся'!P36,0)),"")</f>
        <v>0</v>
      </c>
      <c r="BE36" s="178" t="str">
        <f>IF(E36=2,IF('Ответы учащихся'!P36=1,1,IF('Ответы учащихся'!P36="N",'Ответы учащихся'!P36,0)),"")</f>
        <v/>
      </c>
      <c r="BF36" s="176"/>
      <c r="BG36" s="176"/>
      <c r="BH36" s="176"/>
      <c r="BI36" s="176"/>
      <c r="BJ36" s="6"/>
      <c r="BK36" s="6"/>
      <c r="BL36" s="6"/>
      <c r="BM36" s="6"/>
      <c r="BN36" s="6"/>
      <c r="BO36" s="6"/>
    </row>
    <row r="37" spans="1:67" ht="12.75" customHeight="1">
      <c r="A37" s="12">
        <f>IF('СПИСОК КЛАССА'!J37&gt;0,1,0)</f>
        <v>1</v>
      </c>
      <c r="B37" s="313">
        <v>18</v>
      </c>
      <c r="C37" s="314">
        <f>IF(NOT(ISBLANK('СПИСОК КЛАССА'!C37)),'СПИСОК КЛАССА'!C37,"")</f>
        <v>18</v>
      </c>
      <c r="D37" s="314" t="str">
        <f>IF(NOT(ISBLANK('СПИСОК КЛАССА'!D37)),IF($A37=1,'СПИСОК КЛАССА'!D37, "УЧЕНИК НЕ ВЫПОЛНЯЛ РАБОТУ"),"")</f>
        <v>ЛЕДЕНЕВА ВАЛЕРИЯ</v>
      </c>
      <c r="E37" s="287">
        <f>IF($C37&lt;&gt;"",'СПИСОК КЛАССА'!J37,"")</f>
        <v>1</v>
      </c>
      <c r="F37" s="441">
        <f>IF(AND(OR($C37&lt;&gt;"",$D37&lt;&gt;""),$A37=1,$AJ$6="ДА"),(IF(A37=1,IF(OR(AND(E37=1,'Ответы учащихся'!E37=1),AND(E37=2,'Ответы учащихся'!E37=3)),1,IF('Ответы учащихся'!E37="N",'Ответы учащихся'!E37,0)),"")),"")</f>
        <v>1</v>
      </c>
      <c r="G37" s="442">
        <f>IF(AND(OR($C37&lt;&gt;"",$D37&lt;&gt;""),$A37=1,$AJ$6="ДА"),(IF(A37=1,IF(OR(AND(E37=1,'Ответы учащихся'!F37=2),AND(E37=2,'Ответы учащихся'!F37=3)),1,IF('Ответы учащихся'!F37="N",'Ответы учащихся'!F37,0)),"")),"")</f>
        <v>1</v>
      </c>
      <c r="H37" s="304">
        <f>IF(AND(OR($C37&lt;&gt;"",$D37&lt;&gt;""),$A37=1,$AJ$6="ДА"),IF(A37=1,IF(OR(AND(E37=1,'Ответы учащихся'!G37="GIRL"),AND(E37=2,'Ответы учащихся'!G37="YEARS")),1,IF('Ответы учащихся'!G37="N",'Ответы учащихся'!G37,0)),""),"")</f>
        <v>1</v>
      </c>
      <c r="I37" s="98">
        <f>IF(AND(OR($C37&lt;&gt;"",$D37&lt;&gt;""),$A37=1,$AJ$6="ДА"),IF(A37=1,IF(OR(AND(E37=1,'Ответы учащихся'!H37="SHOUTED"),AND(E37=2,'Ответы учащихся'!H37="HER")),1,IF('Ответы учащихся'!H37="N",'Ответы учащихся'!H37,0)),""),"")</f>
        <v>0</v>
      </c>
      <c r="J37" s="98">
        <f>IF(AND(OR($C37&lt;&gt;"",$D37&lt;&gt;""),$A37=1,$AJ$6="ДА"),IF(A37=1,IF(OR(AND(E37=1,'Ответы учащихся'!I37="ZOO"),AND(E37=2,'Ответы учащихся'!I37="HUSBAND")),1,IF('Ответы учащихся'!I37="N",'Ответы учащихся'!I37,0)),""),"")</f>
        <v>0</v>
      </c>
      <c r="K37" s="98">
        <f>IF(AND(OR($C37&lt;&gt;"",$D37&lt;&gt;""),$A37=1,$AJ$6="ДА"),IF(A37=1,IF(OR(AND(E37=1,'Ответы учащихся'!J37="AT"),AND(E37=2,'Ответы учащихся'!J37="LIVE")),1,IF('Ответы учащихся'!J37="N",'Ответы учащихся'!J37,0)),""),"")</f>
        <v>0</v>
      </c>
      <c r="L37" s="98">
        <f>IF(AND(OR($C37&lt;&gt;"",$D37&lt;&gt;""),$A37=1,$AJ$6="ДА"),IF(A37=1,IF(OR(AND(E37=1,'Ответы учащихся'!K37="SAID"),AND(E37=2,'Ответы учащихся'!K37="MUCH")),1,IF('Ответы учащихся'!K37="N",'Ответы учащихся'!K37,0)),""),"")</f>
        <v>0</v>
      </c>
      <c r="M37" s="98">
        <f>IF(AND(OR($C37&lt;&gt;"",$D37&lt;&gt;""),$A37=1,$AJ$6="ДА"),IF(A37=1,IF(OR(AND(E37=1,'Ответы учащихся'!L37="MORNING"),AND(E37=2,'Ответы учащихся'!L37="SHEEP")),1,IF('Ответы учащихся'!L37="N",'Ответы учащихся'!L37,0)),""),"")</f>
        <v>0</v>
      </c>
      <c r="N37" s="98">
        <f>IF(AND(OR($C37&lt;&gt;"",$D37&lt;&gt;""),$A37=1,$AJ$6="ДА"),IF(A37=1,IF(OR(AND(E37=1,'Ответы учащихся'!M37="MUCH"),AND(E37=2,'Ответы учащихся'!M37="SELL")),1,IF('Ответы учащихся'!M37="N",'Ответы учащихся'!M37,0)),""),"")</f>
        <v>1</v>
      </c>
      <c r="O37" s="131">
        <f>IF(AND(OR($C37&lt;&gt;"",$D37&lt;&gt;""),$A37=1,$AJ$6="ДА"),IF(A37=1,IF(OR(AND(E37=1,'Ответы учащихся'!N37="LIKE"),AND(E37=2,'Ответы учащихся'!N37="IN")),1,IF('Ответы учащихся'!N37="N",'Ответы учащихся'!N37,0)),""),"")</f>
        <v>1</v>
      </c>
      <c r="P37" s="98">
        <f>IF(AND(OR($C37&lt;&gt;"",$D37&lt;&gt;""),$A37=1,$AJ$6="ДА"),IF(A37=1,IF(OR(AND(E37=1,'Ответы учащихся'!O37="ANIMALS"),AND(E37=2,'Ответы учащихся'!O37="CLOTHES")),1,IF('Ответы учащихся'!O37="N",'Ответы учащихся'!O37,0)),""),"")</f>
        <v>1</v>
      </c>
      <c r="Q37" s="98">
        <f>IF(AND(OR($C37&lt;&gt;"",$D37&lt;&gt;""),$A37=1,$AJ$6="ДА"),IF(A37=1,IF(OR(AND(E37=1,'Ответы учащихся'!P37="WE"),AND(E37=2,'Ответы учащихся'!P37="GOES")),1,IF('Ответы учащихся'!P37="N",'Ответы учащихся'!P37,0)),""),"")</f>
        <v>1</v>
      </c>
      <c r="R37" s="98">
        <f>IF(AND(OR($C37&lt;&gt;"",$D37&lt;&gt;""),$A37=1,$AJ$6="ДА"),IF(A37=1,IF(OR(AND(E37=1,'Ответы учащихся'!Q37="ASKED"),AND(E37=2,'Ответы учащихся'!Q37="MADE")),1,IF('Ответы учащихся'!Q37="N",'Ответы учащихся'!Q37,0)),""),"")</f>
        <v>1</v>
      </c>
      <c r="S37" s="98">
        <f>IF(AND(OR($C37&lt;&gt;"",$D37&lt;&gt;""),$A37=1,$AJ$6="ДА"),IF(A37=1,IF(OR(AND(E37=1,'Ответы учащихся'!R37="LOST"),AND(E37=2,'Ответы учащихся'!R37="GOT")),1,IF('Ответы учащихся'!R37="N",'Ответы учащихся'!R37,0)),""),"")</f>
        <v>0</v>
      </c>
      <c r="T37" s="98">
        <f>IF(AND(OR($C37&lt;&gt;"",$D37&lt;&gt;""),$A37=1,$AJ$6="ДА"),IF(A37=1,IF(OR(AND(E37=1,'Ответы учащихся'!S37="GOT"),AND(E37=2,'Ответы учащихся'!S37="CAME")),1,IF('Ответы учащихся'!S37="N",'Ответы учащихся'!S37,0)),""),"")</f>
        <v>1</v>
      </c>
      <c r="U37" s="98">
        <f>IF(AND(OR($C37&lt;&gt;"",$D37&lt;&gt;""),$A37=1,$AJ$6="ДА"),IF(A37=1,IF(OR(AND(E37=1,'Ответы учащихся'!T37="SAW"),AND(E37=2,'Ответы учащихся'!T37="OPENED")),1,IF('Ответы учащихся'!T37="N",'Ответы учащихся'!T37,0)),""),"")</f>
        <v>1</v>
      </c>
      <c r="V37" s="98">
        <f>IF(AND(OR($C37&lt;&gt;"",$D37&lt;&gt;""),$A37=1,$AJ$6="ДА"),IF(A37=1,IF(OR(AND(E37=1,'Ответы учащихся'!U37="WAS"),AND(E37=2,'Ответы учащихся'!U37="TRIED")),1,IF('Ответы учащихся'!U37="N",'Ответы учащихся'!U37,0)),""),"")</f>
        <v>0</v>
      </c>
      <c r="W37" s="98">
        <f>IF(AND(OR($C37&lt;&gt;"",$D37&lt;&gt;""),$A37=1,$AJ$6="ДА"),IF(A37=1,IF(OR(AND(E37=1,'Ответы учащихся'!V37="KNEW"),AND(E37=2,'Ответы учащихся'!V37="SAW")),1,IF('Ответы учащихся'!V37="N",'Ответы учащихся'!V37,0)),""),"")</f>
        <v>0</v>
      </c>
      <c r="X37" s="98">
        <f>IF(AND(OR($C37&lt;&gt;"",$D37&lt;&gt;""),$A37=1,$AJ$6="ДА"),IF(A37=1,IF(OR(AND(E37=1,'Ответы учащихся'!W37="BROKE"),AND(E37=2,'Ответы учащихся'!W37="WENT")),1,IF('Ответы учащихся'!W37="N",'Ответы учащихся'!W37,0)),""),"")</f>
        <v>0</v>
      </c>
      <c r="Y37" s="98">
        <f>IF(AND(OR($C37&lt;&gt;"",$D37&lt;&gt;""),$A37=1,$AJ$6="ДА"),IF(A37=1,IF(OR(AND(E37=1,'Ответы учащихся'!X37="CAME"),AND(E37=2,'Ответы учащихся'!X37="BEGAN")),1,IF('Ответы учащихся'!X37="N",'Ответы учащихся'!X37,0)),""),"")</f>
        <v>0</v>
      </c>
      <c r="Z37" s="98">
        <f>IF(AND(OR($C37&lt;&gt;"",$D37&lt;&gt;""),$A37=1,$AJ$6="ДА"),IF(A37=1,IF(OR(AND(E37=1,'Ответы учащихся'!Y37="RODE"),AND(E37=2,'Ответы учащихся'!Y37="PUT")),1,IF('Ответы учащихся'!Y37="N",'Ответы учащихся'!Y37,0)),""),"")</f>
        <v>0</v>
      </c>
      <c r="AA37" s="305">
        <f>IF(AND(OR($C37&lt;&gt;"",$D37&lt;&gt;""),$A37=1,$AJ$6="ДА"),IF(A37=1,IF(OR(AND(E37=1,'Ответы учащихся'!Z37="TOOK"),AND(E37=2,'Ответы учащихся'!Z37="LEFT")),1,IF('Ответы учащихся'!Z37="N",'Ответы учащихся'!Z37,0)),""),"")</f>
        <v>1</v>
      </c>
      <c r="AB37" s="477">
        <f>IF(AND(OR($C37&lt;&gt;"",$D37&lt;&gt;""),$A37=1,$AJ$6="ДА"),IF(OR('Ответы учащихся'!AA37="N",'Ответы учащихся'!AL37="N"),"N",('Ответы учащихся'!AA37+'Ответы учащихся'!AL37)),"")</f>
        <v>1</v>
      </c>
      <c r="AC37" s="310">
        <f t="shared" si="5"/>
        <v>1</v>
      </c>
      <c r="AD37" s="274" t="b">
        <f t="shared" si="6"/>
        <v>0</v>
      </c>
      <c r="AE37" s="274" t="b">
        <f t="shared" si="7"/>
        <v>0</v>
      </c>
      <c r="AF37" s="274" t="b">
        <f t="shared" si="8"/>
        <v>0</v>
      </c>
      <c r="AG37" s="274" t="b">
        <f>IF(OR('Ответы учащихся'!AA37="N",'Ответы учащихся'!AL37="N"),1)</f>
        <v>0</v>
      </c>
      <c r="AH37" s="289">
        <f>IF(AND(OR($C37&lt;&gt;"",$D37&lt;&gt;""),$A37=1,$AJ$6="ДА"),IF(A37=1,IF('Ответы учащихся'!AK37="N",'Ответы учащихся'!AK37,AF37+AG37),""),"")</f>
        <v>0</v>
      </c>
      <c r="AI37" s="461">
        <f t="shared" si="9"/>
        <v>12</v>
      </c>
      <c r="AJ37" s="128">
        <f t="shared" si="10"/>
        <v>0.48</v>
      </c>
      <c r="AK37" s="133">
        <f t="shared" si="11"/>
        <v>6</v>
      </c>
      <c r="AL37" s="269">
        <f t="shared" si="12"/>
        <v>54.54545454545454</v>
      </c>
      <c r="AM37" s="133">
        <f t="shared" si="13"/>
        <v>6</v>
      </c>
      <c r="AN37" s="269">
        <f t="shared" si="14"/>
        <v>42.857142857142854</v>
      </c>
      <c r="AO37" s="435" t="str">
        <f t="shared" si="15"/>
        <v>БАЗОВЫЙ</v>
      </c>
      <c r="AP37" s="427">
        <f t="shared" si="16"/>
        <v>17.068965517241381</v>
      </c>
      <c r="AQ37" s="182">
        <f t="shared" si="17"/>
        <v>0.6827586206896552</v>
      </c>
      <c r="AR37" s="176">
        <v>6</v>
      </c>
      <c r="AS37" s="181">
        <f t="shared" si="18"/>
        <v>69.905956112852664</v>
      </c>
      <c r="AT37" s="183">
        <f>IF(A37=1,IF(OR(AND(E37=1,'Ответы учащихся'!AB37=0.15),AND(E37=2,'Ответы учащихся'!AB37=-2)),1,IF('Ответы учащихся'!AB37="N",'Ответы учащихся'!AB37,0)),"")</f>
        <v>0</v>
      </c>
      <c r="AU37" s="176">
        <f>IF(A37=1,IF(OR(AND(E37=1,'Ответы учащихся'!AC37="м/с"),AND(E37=2,'Ответы учащихся'!AC37="mV0")),1,IF('Ответы учащихся'!AB37="N",'Ответы учащихся'!AB37,0)),"")</f>
        <v>0</v>
      </c>
      <c r="AV37" s="176">
        <f>IF(A37=1,IF(OR(AND(E37=1,'Ответы учащихся'!AD37=-6),AND(E37=2,'Ответы учащихся'!AD37=-10)),1,IF('Ответы учащихся'!AE37="N",'Ответы учащихся'!AE37,0)),"")</f>
        <v>0</v>
      </c>
      <c r="AW37" s="176">
        <f>IF(A37=1,IF(OR(AND(E37=1,'Ответы учащихся'!AE37="Нм"),AND(E37=2,'Ответы учащихся'!AE37="Нм")),1,IF('Ответы учащихся'!AE37="N",'Ответы учащихся'!AE37,0)),"")</f>
        <v>0</v>
      </c>
      <c r="AX37" s="176">
        <f>IF(A37=1,IF(OR(AND(E37=1,'Ответы учащихся'!AF37=250),AND(E37=2,'Ответы учащихся'!AF37=500)),1,IF('Ответы учащихся'!AF37="N",'Ответы учащихся'!AF37,0)),"")</f>
        <v>0</v>
      </c>
      <c r="AY37" s="176">
        <f>IF(A37=1,IF(OR(AND(E37=1,'Ответы учащихся'!AG37="м"),AND(E37=2,'Ответы учащихся'!AG37="Па")),1,IF('Ответы учащихся'!AF37="N",'Ответы учащихся'!AF37,0)),"")</f>
        <v>0</v>
      </c>
      <c r="AZ37" s="177">
        <f>IF(E37=1,(IF('Ответы учащихся'!N37=3,1,IF('Ответы учащихся'!N37="N",'Ответы учащихся'!N37,0))),"")</f>
        <v>0</v>
      </c>
      <c r="BA37" s="178" t="str">
        <f>IF(E37=2,IF('Ответы учащихся'!N37=1,1,(IF('Ответы учащихся'!N37="N",'Ответы учащихся'!N37,0))),"")</f>
        <v/>
      </c>
      <c r="BB37" s="179">
        <f>IF(E37=1,IF('Ответы учащихся'!O37=3,1,IF('Ответы учащихся'!O37="N",'Ответы учащихся'!O37,0)),"")</f>
        <v>0</v>
      </c>
      <c r="BC37" s="178" t="str">
        <f>IF(E37=2,IF('Ответы учащихся'!O37=2,1,IF('Ответы учащихся'!O37="N",'Ответы учащихся'!O37,0)),"")</f>
        <v/>
      </c>
      <c r="BD37" s="179">
        <f>IF(E37=1,IF('Ответы учащихся'!P37=1,1,IF('Ответы учащихся'!P37="N",'Ответы учащихся'!P37,0)),"")</f>
        <v>0</v>
      </c>
      <c r="BE37" s="178" t="str">
        <f>IF(E37=2,IF('Ответы учащихся'!P37=1,1,IF('Ответы учащихся'!P37="N",'Ответы учащихся'!P37,0)),"")</f>
        <v/>
      </c>
      <c r="BF37" s="176"/>
      <c r="BG37" s="176"/>
      <c r="BH37" s="176"/>
      <c r="BI37" s="176"/>
      <c r="BJ37" s="6"/>
      <c r="BK37" s="6"/>
      <c r="BL37" s="6"/>
      <c r="BM37" s="6"/>
      <c r="BN37" s="6"/>
      <c r="BO37" s="6"/>
    </row>
    <row r="38" spans="1:67" ht="12.75" customHeight="1">
      <c r="A38" s="12">
        <f>IF('СПИСОК КЛАССА'!J38&gt;0,1,0)</f>
        <v>1</v>
      </c>
      <c r="B38" s="313">
        <v>19</v>
      </c>
      <c r="C38" s="314">
        <f>IF(NOT(ISBLANK('СПИСОК КЛАССА'!C38)),'СПИСОК КЛАССА'!C38,"")</f>
        <v>19</v>
      </c>
      <c r="D38" s="314" t="str">
        <f>IF(NOT(ISBLANK('СПИСОК КЛАССА'!D38)),IF($A38=1,'СПИСОК КЛАССА'!D38, "УЧЕНИК НЕ ВЫПОЛНЯЛ РАБОТУ"),"")</f>
        <v>МАКАЙДА АЛЛА</v>
      </c>
      <c r="E38" s="287">
        <f>IF($C38&lt;&gt;"",'СПИСОК КЛАССА'!J38,"")</f>
        <v>1</v>
      </c>
      <c r="F38" s="441">
        <f>IF(AND(OR($C38&lt;&gt;"",$D38&lt;&gt;""),$A38=1,$AJ$6="ДА"),(IF(A38=1,IF(OR(AND(E38=1,'Ответы учащихся'!E38=1),AND(E38=2,'Ответы учащихся'!E38=3)),1,IF('Ответы учащихся'!E38="N",'Ответы учащихся'!E38,0)),"")),"")</f>
        <v>1</v>
      </c>
      <c r="G38" s="442">
        <f>IF(AND(OR($C38&lt;&gt;"",$D38&lt;&gt;""),$A38=1,$AJ$6="ДА"),(IF(A38=1,IF(OR(AND(E38=1,'Ответы учащихся'!F38=2),AND(E38=2,'Ответы учащихся'!F38=3)),1,IF('Ответы учащихся'!F38="N",'Ответы учащихся'!F38,0)),"")),"")</f>
        <v>1</v>
      </c>
      <c r="H38" s="304">
        <f>IF(AND(OR($C38&lt;&gt;"",$D38&lt;&gt;""),$A38=1,$AJ$6="ДА"),IF(A38=1,IF(OR(AND(E38=1,'Ответы учащихся'!G38="GIRL"),AND(E38=2,'Ответы учащихся'!G38="YEARS")),1,IF('Ответы учащихся'!G38="N",'Ответы учащихся'!G38,0)),""),"")</f>
        <v>1</v>
      </c>
      <c r="I38" s="98">
        <f>IF(AND(OR($C38&lt;&gt;"",$D38&lt;&gt;""),$A38=1,$AJ$6="ДА"),IF(A38=1,IF(OR(AND(E38=1,'Ответы учащихся'!H38="SHOUTED"),AND(E38=2,'Ответы учащихся'!H38="HER")),1,IF('Ответы учащихся'!H38="N",'Ответы учащихся'!H38,0)),""),"")</f>
        <v>1</v>
      </c>
      <c r="J38" s="98">
        <f>IF(AND(OR($C38&lt;&gt;"",$D38&lt;&gt;""),$A38=1,$AJ$6="ДА"),IF(A38=1,IF(OR(AND(E38=1,'Ответы учащихся'!I38="ZOO"),AND(E38=2,'Ответы учащихся'!I38="HUSBAND")),1,IF('Ответы учащихся'!I38="N",'Ответы учащихся'!I38,0)),""),"")</f>
        <v>0</v>
      </c>
      <c r="K38" s="98">
        <f>IF(AND(OR($C38&lt;&gt;"",$D38&lt;&gt;""),$A38=1,$AJ$6="ДА"),IF(A38=1,IF(OR(AND(E38=1,'Ответы учащихся'!J38="AT"),AND(E38=2,'Ответы учащихся'!J38="LIVE")),1,IF('Ответы учащихся'!J38="N",'Ответы учащихся'!J38,0)),""),"")</f>
        <v>1</v>
      </c>
      <c r="L38" s="98">
        <f>IF(AND(OR($C38&lt;&gt;"",$D38&lt;&gt;""),$A38=1,$AJ$6="ДА"),IF(A38=1,IF(OR(AND(E38=1,'Ответы учащихся'!K38="SAID"),AND(E38=2,'Ответы учащихся'!K38="MUCH")),1,IF('Ответы учащихся'!K38="N",'Ответы учащихся'!K38,0)),""),"")</f>
        <v>0</v>
      </c>
      <c r="M38" s="98">
        <f>IF(AND(OR($C38&lt;&gt;"",$D38&lt;&gt;""),$A38=1,$AJ$6="ДА"),IF(A38=1,IF(OR(AND(E38=1,'Ответы учащихся'!L38="MORNING"),AND(E38=2,'Ответы учащихся'!L38="SHEEP")),1,IF('Ответы учащихся'!L38="N",'Ответы учащихся'!L38,0)),""),"")</f>
        <v>0</v>
      </c>
      <c r="N38" s="98">
        <f>IF(AND(OR($C38&lt;&gt;"",$D38&lt;&gt;""),$A38=1,$AJ$6="ДА"),IF(A38=1,IF(OR(AND(E38=1,'Ответы учащихся'!M38="MUCH"),AND(E38=2,'Ответы учащихся'!M38="SELL")),1,IF('Ответы учащихся'!M38="N",'Ответы учащихся'!M38,0)),""),"")</f>
        <v>1</v>
      </c>
      <c r="O38" s="131">
        <f>IF(AND(OR($C38&lt;&gt;"",$D38&lt;&gt;""),$A38=1,$AJ$6="ДА"),IF(A38=1,IF(OR(AND(E38=1,'Ответы учащихся'!N38="LIKE"),AND(E38=2,'Ответы учащихся'!N38="IN")),1,IF('Ответы учащихся'!N38="N",'Ответы учащихся'!N38,0)),""),"")</f>
        <v>1</v>
      </c>
      <c r="P38" s="98">
        <f>IF(AND(OR($C38&lt;&gt;"",$D38&lt;&gt;""),$A38=1,$AJ$6="ДА"),IF(A38=1,IF(OR(AND(E38=1,'Ответы учащихся'!O38="ANIMALS"),AND(E38=2,'Ответы учащихся'!O38="CLOTHES")),1,IF('Ответы учащихся'!O38="N",'Ответы учащихся'!O38,0)),""),"")</f>
        <v>0</v>
      </c>
      <c r="Q38" s="98">
        <f>IF(AND(OR($C38&lt;&gt;"",$D38&lt;&gt;""),$A38=1,$AJ$6="ДА"),IF(A38=1,IF(OR(AND(E38=1,'Ответы учащихся'!P38="WE"),AND(E38=2,'Ответы учащихся'!P38="GOES")),1,IF('Ответы учащихся'!P38="N",'Ответы учащихся'!P38,0)),""),"")</f>
        <v>1</v>
      </c>
      <c r="R38" s="98">
        <f>IF(AND(OR($C38&lt;&gt;"",$D38&lt;&gt;""),$A38=1,$AJ$6="ДА"),IF(A38=1,IF(OR(AND(E38=1,'Ответы учащихся'!Q38="ASKED"),AND(E38=2,'Ответы учащихся'!Q38="MADE")),1,IF('Ответы учащихся'!Q38="N",'Ответы учащихся'!Q38,0)),""),"")</f>
        <v>1</v>
      </c>
      <c r="S38" s="98">
        <f>IF(AND(OR($C38&lt;&gt;"",$D38&lt;&gt;""),$A38=1,$AJ$6="ДА"),IF(A38=1,IF(OR(AND(E38=1,'Ответы учащихся'!R38="LOST"),AND(E38=2,'Ответы учащихся'!R38="GOT")),1,IF('Ответы учащихся'!R38="N",'Ответы учащихся'!R38,0)),""),"")</f>
        <v>1</v>
      </c>
      <c r="T38" s="98">
        <f>IF(AND(OR($C38&lt;&gt;"",$D38&lt;&gt;""),$A38=1,$AJ$6="ДА"),IF(A38=1,IF(OR(AND(E38=1,'Ответы учащихся'!S38="GOT"),AND(E38=2,'Ответы учащихся'!S38="CAME")),1,IF('Ответы учащихся'!S38="N",'Ответы учащихся'!S38,0)),""),"")</f>
        <v>1</v>
      </c>
      <c r="U38" s="98">
        <f>IF(AND(OR($C38&lt;&gt;"",$D38&lt;&gt;""),$A38=1,$AJ$6="ДА"),IF(A38=1,IF(OR(AND(E38=1,'Ответы учащихся'!T38="SAW"),AND(E38=2,'Ответы учащихся'!T38="OPENED")),1,IF('Ответы учащихся'!T38="N",'Ответы учащихся'!T38,0)),""),"")</f>
        <v>1</v>
      </c>
      <c r="V38" s="98">
        <f>IF(AND(OR($C38&lt;&gt;"",$D38&lt;&gt;""),$A38=1,$AJ$6="ДА"),IF(A38=1,IF(OR(AND(E38=1,'Ответы учащихся'!U38="WAS"),AND(E38=2,'Ответы учащихся'!U38="TRIED")),1,IF('Ответы учащихся'!U38="N",'Ответы учащихся'!U38,0)),""),"")</f>
        <v>1</v>
      </c>
      <c r="W38" s="98">
        <f>IF(AND(OR($C38&lt;&gt;"",$D38&lt;&gt;""),$A38=1,$AJ$6="ДА"),IF(A38=1,IF(OR(AND(E38=1,'Ответы учащихся'!V38="KNEW"),AND(E38=2,'Ответы учащихся'!V38="SAW")),1,IF('Ответы учащихся'!V38="N",'Ответы учащихся'!V38,0)),""),"")</f>
        <v>1</v>
      </c>
      <c r="X38" s="98">
        <f>IF(AND(OR($C38&lt;&gt;"",$D38&lt;&gt;""),$A38=1,$AJ$6="ДА"),IF(A38=1,IF(OR(AND(E38=1,'Ответы учащихся'!W38="BROKE"),AND(E38=2,'Ответы учащихся'!W38="WENT")),1,IF('Ответы учащихся'!W38="N",'Ответы учащихся'!W38,0)),""),"")</f>
        <v>0</v>
      </c>
      <c r="Y38" s="98">
        <f>IF(AND(OR($C38&lt;&gt;"",$D38&lt;&gt;""),$A38=1,$AJ$6="ДА"),IF(A38=1,IF(OR(AND(E38=1,'Ответы учащихся'!X38="CAME"),AND(E38=2,'Ответы учащихся'!X38="BEGAN")),1,IF('Ответы учащихся'!X38="N",'Ответы учащихся'!X38,0)),""),"")</f>
        <v>1</v>
      </c>
      <c r="Z38" s="98">
        <f>IF(AND(OR($C38&lt;&gt;"",$D38&lt;&gt;""),$A38=1,$AJ$6="ДА"),IF(A38=1,IF(OR(AND(E38=1,'Ответы учащихся'!Y38="RODE"),AND(E38=2,'Ответы учащихся'!Y38="PUT")),1,IF('Ответы учащихся'!Y38="N",'Ответы учащихся'!Y38,0)),""),"")</f>
        <v>1</v>
      </c>
      <c r="AA38" s="305">
        <f>IF(AND(OR($C38&lt;&gt;"",$D38&lt;&gt;""),$A38=1,$AJ$6="ДА"),IF(A38=1,IF(OR(AND(E38=1,'Ответы учащихся'!Z38="TOOK"),AND(E38=2,'Ответы учащихся'!Z38="LEFT")),1,IF('Ответы учащихся'!Z38="N",'Ответы учащихся'!Z38,0)),""),"")</f>
        <v>1</v>
      </c>
      <c r="AB38" s="477">
        <f>IF(AND(OR($C38&lt;&gt;"",$D38&lt;&gt;""),$A38=1,$AJ$6="ДА"),IF(OR('Ответы учащихся'!AA38="N",'Ответы учащихся'!AL38="N"),"N",('Ответы учащихся'!AA38+'Ответы учащихся'!AL38)),"")</f>
        <v>3</v>
      </c>
      <c r="AC38" s="310" t="b">
        <f t="shared" si="5"/>
        <v>0</v>
      </c>
      <c r="AD38" s="274" t="b">
        <f t="shared" si="6"/>
        <v>0</v>
      </c>
      <c r="AE38" s="274">
        <f t="shared" si="7"/>
        <v>1</v>
      </c>
      <c r="AF38" s="274" t="b">
        <f t="shared" si="8"/>
        <v>0</v>
      </c>
      <c r="AG38" s="274" t="b">
        <f>IF(OR('Ответы учащихся'!AA38="N",'Ответы учащихся'!AL38="N"),1)</f>
        <v>0</v>
      </c>
      <c r="AH38" s="289">
        <f>IF(AND(OR($C38&lt;&gt;"",$D38&lt;&gt;""),$A38=1,$AJ$6="ДА"),IF(A38=1,IF('Ответы учащихся'!AK38="N",'Ответы учащихся'!AK38,AF38+AG38),""),"")</f>
        <v>0</v>
      </c>
      <c r="AI38" s="461">
        <f t="shared" si="9"/>
        <v>20</v>
      </c>
      <c r="AJ38" s="128">
        <f t="shared" si="10"/>
        <v>0.8</v>
      </c>
      <c r="AK38" s="133">
        <f t="shared" si="11"/>
        <v>7</v>
      </c>
      <c r="AL38" s="269">
        <f t="shared" si="12"/>
        <v>63.636363636363633</v>
      </c>
      <c r="AM38" s="133">
        <f t="shared" si="13"/>
        <v>13</v>
      </c>
      <c r="AN38" s="269">
        <f t="shared" si="14"/>
        <v>92.857142857142861</v>
      </c>
      <c r="AO38" s="435" t="str">
        <f t="shared" si="15"/>
        <v>ПОВЫШЕННЫЙ</v>
      </c>
      <c r="AP38" s="427">
        <f t="shared" si="16"/>
        <v>17.068965517241381</v>
      </c>
      <c r="AQ38" s="182">
        <f t="shared" si="17"/>
        <v>0.6827586206896552</v>
      </c>
      <c r="AR38" s="176">
        <v>6</v>
      </c>
      <c r="AS38" s="181">
        <f t="shared" si="18"/>
        <v>69.905956112852664</v>
      </c>
      <c r="AT38" s="183">
        <f>IF(A38=1,IF(OR(AND(E38=1,'Ответы учащихся'!AB38=0.15),AND(E38=2,'Ответы учащихся'!AB38=-2)),1,IF('Ответы учащихся'!AB38="N",'Ответы учащихся'!AB38,0)),"")</f>
        <v>0</v>
      </c>
      <c r="AU38" s="176">
        <f>IF(A38=1,IF(OR(AND(E38=1,'Ответы учащихся'!AC38="м/с"),AND(E38=2,'Ответы учащихся'!AC38="mV0")),1,IF('Ответы учащихся'!AB38="N",'Ответы учащихся'!AB38,0)),"")</f>
        <v>0</v>
      </c>
      <c r="AV38" s="176">
        <f>IF(A38=1,IF(OR(AND(E38=1,'Ответы учащихся'!AD38=-6),AND(E38=2,'Ответы учащихся'!AD38=-10)),1,IF('Ответы учащихся'!AE38="N",'Ответы учащихся'!AE38,0)),"")</f>
        <v>0</v>
      </c>
      <c r="AW38" s="176">
        <f>IF(A38=1,IF(OR(AND(E38=1,'Ответы учащихся'!AE38="Нм"),AND(E38=2,'Ответы учащихся'!AE38="Нм")),1,IF('Ответы учащихся'!AE38="N",'Ответы учащихся'!AE38,0)),"")</f>
        <v>0</v>
      </c>
      <c r="AX38" s="176">
        <f>IF(A38=1,IF(OR(AND(E38=1,'Ответы учащихся'!AF38=250),AND(E38=2,'Ответы учащихся'!AF38=500)),1,IF('Ответы учащихся'!AF38="N",'Ответы учащихся'!AF38,0)),"")</f>
        <v>0</v>
      </c>
      <c r="AY38" s="176">
        <f>IF(A38=1,IF(OR(AND(E38=1,'Ответы учащихся'!AG38="м"),AND(E38=2,'Ответы учащихся'!AG38="Па")),1,IF('Ответы учащихся'!AF38="N",'Ответы учащихся'!AF38,0)),"")</f>
        <v>0</v>
      </c>
      <c r="AZ38" s="177">
        <f>IF(E38=1,(IF('Ответы учащихся'!N38=3,1,IF('Ответы учащихся'!N38="N",'Ответы учащихся'!N38,0))),"")</f>
        <v>0</v>
      </c>
      <c r="BA38" s="178" t="str">
        <f>IF(E38=2,IF('Ответы учащихся'!N38=1,1,(IF('Ответы учащихся'!N38="N",'Ответы учащихся'!N38,0))),"")</f>
        <v/>
      </c>
      <c r="BB38" s="179">
        <f>IF(E38=1,IF('Ответы учащихся'!O38=3,1,IF('Ответы учащихся'!O38="N",'Ответы учащихся'!O38,0)),"")</f>
        <v>0</v>
      </c>
      <c r="BC38" s="178" t="str">
        <f>IF(E38=2,IF('Ответы учащихся'!O38=2,1,IF('Ответы учащихся'!O38="N",'Ответы учащихся'!O38,0)),"")</f>
        <v/>
      </c>
      <c r="BD38" s="179">
        <f>IF(E38=1,IF('Ответы учащихся'!P38=1,1,IF('Ответы учащихся'!P38="N",'Ответы учащихся'!P38,0)),"")</f>
        <v>0</v>
      </c>
      <c r="BE38" s="178" t="str">
        <f>IF(E38=2,IF('Ответы учащихся'!P38=1,1,IF('Ответы учащихся'!P38="N",'Ответы учащихся'!P38,0)),"")</f>
        <v/>
      </c>
      <c r="BF38" s="176"/>
      <c r="BG38" s="176"/>
      <c r="BH38" s="176"/>
      <c r="BI38" s="176"/>
      <c r="BJ38" s="6"/>
      <c r="BK38" s="6"/>
      <c r="BL38" s="6"/>
      <c r="BM38" s="6"/>
      <c r="BN38" s="6"/>
      <c r="BO38" s="6"/>
    </row>
    <row r="39" spans="1:67" ht="12.75" customHeight="1">
      <c r="A39" s="12">
        <f>IF('СПИСОК КЛАССА'!J39&gt;0,1,0)</f>
        <v>1</v>
      </c>
      <c r="B39" s="313">
        <v>20</v>
      </c>
      <c r="C39" s="314">
        <f>IF(NOT(ISBLANK('СПИСОК КЛАССА'!C39)),'СПИСОК КЛАССА'!C39,"")</f>
        <v>20</v>
      </c>
      <c r="D39" s="314" t="str">
        <f>IF(NOT(ISBLANK('СПИСОК КЛАССА'!D39)),IF($A39=1,'СПИСОК КЛАССА'!D39, "УЧЕНИК НЕ ВЫПОЛНЯЛ РАБОТУ"),"")</f>
        <v>МЕДВЕДЕВ СЕРГЕЙ</v>
      </c>
      <c r="E39" s="287">
        <f>IF($C39&lt;&gt;"",'СПИСОК КЛАССА'!J39,"")</f>
        <v>2</v>
      </c>
      <c r="F39" s="441">
        <f>IF(AND(OR($C39&lt;&gt;"",$D39&lt;&gt;""),$A39=1,$AJ$6="ДА"),(IF(A39=1,IF(OR(AND(E39=1,'Ответы учащихся'!E39=1),AND(E39=2,'Ответы учащихся'!E39=3)),1,IF('Ответы учащихся'!E39="N",'Ответы учащихся'!E39,0)),"")),"")</f>
        <v>1</v>
      </c>
      <c r="G39" s="442">
        <f>IF(AND(OR($C39&lt;&gt;"",$D39&lt;&gt;""),$A39=1,$AJ$6="ДА"),(IF(A39=1,IF(OR(AND(E39=1,'Ответы учащихся'!F39=2),AND(E39=2,'Ответы учащихся'!F39=3)),1,IF('Ответы учащихся'!F39="N",'Ответы учащихся'!F39,0)),"")),"")</f>
        <v>0</v>
      </c>
      <c r="H39" s="304">
        <f>IF(AND(OR($C39&lt;&gt;"",$D39&lt;&gt;""),$A39=1,$AJ$6="ДА"),IF(A39=1,IF(OR(AND(E39=1,'Ответы учащихся'!G39="GIRL"),AND(E39=2,'Ответы учащихся'!G39="YEARS")),1,IF('Ответы учащихся'!G39="N",'Ответы учащихся'!G39,0)),""),"")</f>
        <v>1</v>
      </c>
      <c r="I39" s="98">
        <f>IF(AND(OR($C39&lt;&gt;"",$D39&lt;&gt;""),$A39=1,$AJ$6="ДА"),IF(A39=1,IF(OR(AND(E39=1,'Ответы учащихся'!H39="SHOUTED"),AND(E39=2,'Ответы учащихся'!H39="HER")),1,IF('Ответы учащихся'!H39="N",'Ответы учащихся'!H39,0)),""),"")</f>
        <v>1</v>
      </c>
      <c r="J39" s="98">
        <f>IF(AND(OR($C39&lt;&gt;"",$D39&lt;&gt;""),$A39=1,$AJ$6="ДА"),IF(A39=1,IF(OR(AND(E39=1,'Ответы учащихся'!I39="ZOO"),AND(E39=2,'Ответы учащихся'!I39="HUSBAND")),1,IF('Ответы учащихся'!I39="N",'Ответы учащихся'!I39,0)),""),"")</f>
        <v>1</v>
      </c>
      <c r="K39" s="98">
        <f>IF(AND(OR($C39&lt;&gt;"",$D39&lt;&gt;""),$A39=1,$AJ$6="ДА"),IF(A39=1,IF(OR(AND(E39=1,'Ответы учащихся'!J39="AT"),AND(E39=2,'Ответы учащихся'!J39="LIVE")),1,IF('Ответы учащихся'!J39="N",'Ответы учащихся'!J39,0)),""),"")</f>
        <v>0</v>
      </c>
      <c r="L39" s="98">
        <f>IF(AND(OR($C39&lt;&gt;"",$D39&lt;&gt;""),$A39=1,$AJ$6="ДА"),IF(A39=1,IF(OR(AND(E39=1,'Ответы учащихся'!K39="SAID"),AND(E39=2,'Ответы учащихся'!K39="MUCH")),1,IF('Ответы учащихся'!K39="N",'Ответы учащихся'!K39,0)),""),"")</f>
        <v>0</v>
      </c>
      <c r="M39" s="98">
        <f>IF(AND(OR($C39&lt;&gt;"",$D39&lt;&gt;""),$A39=1,$AJ$6="ДА"),IF(A39=1,IF(OR(AND(E39=1,'Ответы учащихся'!L39="MORNING"),AND(E39=2,'Ответы учащихся'!L39="SHEEP")),1,IF('Ответы учащихся'!L39="N",'Ответы учащихся'!L39,0)),""),"")</f>
        <v>0</v>
      </c>
      <c r="N39" s="98">
        <f>IF(AND(OR($C39&lt;&gt;"",$D39&lt;&gt;""),$A39=1,$AJ$6="ДА"),IF(A39=1,IF(OR(AND(E39=1,'Ответы учащихся'!M39="MUCH"),AND(E39=2,'Ответы учащихся'!M39="SELL")),1,IF('Ответы учащихся'!M39="N",'Ответы учащихся'!M39,0)),""),"")</f>
        <v>0</v>
      </c>
      <c r="O39" s="131">
        <f>IF(AND(OR($C39&lt;&gt;"",$D39&lt;&gt;""),$A39=1,$AJ$6="ДА"),IF(A39=1,IF(OR(AND(E39=1,'Ответы учащихся'!N39="LIKE"),AND(E39=2,'Ответы учащихся'!N39="IN")),1,IF('Ответы учащихся'!N39="N",'Ответы учащихся'!N39,0)),""),"")</f>
        <v>1</v>
      </c>
      <c r="P39" s="98">
        <f>IF(AND(OR($C39&lt;&gt;"",$D39&lt;&gt;""),$A39=1,$AJ$6="ДА"),IF(A39=1,IF(OR(AND(E39=1,'Ответы учащихся'!O39="ANIMALS"),AND(E39=2,'Ответы учащихся'!O39="CLOTHES")),1,IF('Ответы учащихся'!O39="N",'Ответы учащихся'!O39,0)),""),"")</f>
        <v>1</v>
      </c>
      <c r="Q39" s="98">
        <f>IF(AND(OR($C39&lt;&gt;"",$D39&lt;&gt;""),$A39=1,$AJ$6="ДА"),IF(A39=1,IF(OR(AND(E39=1,'Ответы учащихся'!P39="WE"),AND(E39=2,'Ответы учащихся'!P39="GOES")),1,IF('Ответы учащихся'!P39="N",'Ответы учащихся'!P39,0)),""),"")</f>
        <v>0</v>
      </c>
      <c r="R39" s="98">
        <f>IF(AND(OR($C39&lt;&gt;"",$D39&lt;&gt;""),$A39=1,$AJ$6="ДА"),IF(A39=1,IF(OR(AND(E39=1,'Ответы учащихся'!Q39="ASKED"),AND(E39=2,'Ответы учащихся'!Q39="MADE")),1,IF('Ответы учащихся'!Q39="N",'Ответы учащихся'!Q39,0)),""),"")</f>
        <v>1</v>
      </c>
      <c r="S39" s="98">
        <f>IF(AND(OR($C39&lt;&gt;"",$D39&lt;&gt;""),$A39=1,$AJ$6="ДА"),IF(A39=1,IF(OR(AND(E39=1,'Ответы учащихся'!R39="LOST"),AND(E39=2,'Ответы учащихся'!R39="GOT")),1,IF('Ответы учащихся'!R39="N",'Ответы учащихся'!R39,0)),""),"")</f>
        <v>1</v>
      </c>
      <c r="T39" s="98">
        <f>IF(AND(OR($C39&lt;&gt;"",$D39&lt;&gt;""),$A39=1,$AJ$6="ДА"),IF(A39=1,IF(OR(AND(E39=1,'Ответы учащихся'!S39="GOT"),AND(E39=2,'Ответы учащихся'!S39="CAME")),1,IF('Ответы учащихся'!S39="N",'Ответы учащихся'!S39,0)),""),"")</f>
        <v>0</v>
      </c>
      <c r="U39" s="98">
        <f>IF(AND(OR($C39&lt;&gt;"",$D39&lt;&gt;""),$A39=1,$AJ$6="ДА"),IF(A39=1,IF(OR(AND(E39=1,'Ответы учащихся'!T39="SAW"),AND(E39=2,'Ответы учащихся'!T39="OPENED")),1,IF('Ответы учащихся'!T39="N",'Ответы учащихся'!T39,0)),""),"")</f>
        <v>0</v>
      </c>
      <c r="V39" s="98">
        <f>IF(AND(OR($C39&lt;&gt;"",$D39&lt;&gt;""),$A39=1,$AJ$6="ДА"),IF(A39=1,IF(OR(AND(E39=1,'Ответы учащихся'!U39="WAS"),AND(E39=2,'Ответы учащихся'!U39="TRIED")),1,IF('Ответы учащихся'!U39="N",'Ответы учащихся'!U39,0)),""),"")</f>
        <v>0</v>
      </c>
      <c r="W39" s="98">
        <f>IF(AND(OR($C39&lt;&gt;"",$D39&lt;&gt;""),$A39=1,$AJ$6="ДА"),IF(A39=1,IF(OR(AND(E39=1,'Ответы учащихся'!V39="KNEW"),AND(E39=2,'Ответы учащихся'!V39="SAW")),1,IF('Ответы учащихся'!V39="N",'Ответы учащихся'!V39,0)),""),"")</f>
        <v>0</v>
      </c>
      <c r="X39" s="98">
        <f>IF(AND(OR($C39&lt;&gt;"",$D39&lt;&gt;""),$A39=1,$AJ$6="ДА"),IF(A39=1,IF(OR(AND(E39=1,'Ответы учащихся'!W39="BROKE"),AND(E39=2,'Ответы учащихся'!W39="WENT")),1,IF('Ответы учащихся'!W39="N",'Ответы учащихся'!W39,0)),""),"")</f>
        <v>0</v>
      </c>
      <c r="Y39" s="98">
        <f>IF(AND(OR($C39&lt;&gt;"",$D39&lt;&gt;""),$A39=1,$AJ$6="ДА"),IF(A39=1,IF(OR(AND(E39=1,'Ответы учащихся'!X39="CAME"),AND(E39=2,'Ответы учащихся'!X39="BEGAN")),1,IF('Ответы учащихся'!X39="N",'Ответы учащихся'!X39,0)),""),"")</f>
        <v>0</v>
      </c>
      <c r="Z39" s="98">
        <f>IF(AND(OR($C39&lt;&gt;"",$D39&lt;&gt;""),$A39=1,$AJ$6="ДА"),IF(A39=1,IF(OR(AND(E39=1,'Ответы учащихся'!Y39="RODE"),AND(E39=2,'Ответы учащихся'!Y39="PUT")),1,IF('Ответы учащихся'!Y39="N",'Ответы учащихся'!Y39,0)),""),"")</f>
        <v>1</v>
      </c>
      <c r="AA39" s="305">
        <f>IF(AND(OR($C39&lt;&gt;"",$D39&lt;&gt;""),$A39=1,$AJ$6="ДА"),IF(A39=1,IF(OR(AND(E39=1,'Ответы учащихся'!Z39="TOOK"),AND(E39=2,'Ответы учащихся'!Z39="LEFT")),1,IF('Ответы учащихся'!Z39="N",'Ответы учащихся'!Z39,0)),""),"")</f>
        <v>0</v>
      </c>
      <c r="AB39" s="477">
        <f>IF(AND(OR($C39&lt;&gt;"",$D39&lt;&gt;""),$A39=1,$AJ$6="ДА"),IF(OR('Ответы учащихся'!AA39="N",'Ответы учащихся'!AL39="N"),"N",('Ответы учащихся'!AA39+'Ответы учащихся'!AL39)),"")</f>
        <v>1</v>
      </c>
      <c r="AC39" s="310">
        <f t="shared" si="5"/>
        <v>1</v>
      </c>
      <c r="AD39" s="274" t="b">
        <f t="shared" si="6"/>
        <v>0</v>
      </c>
      <c r="AE39" s="274" t="b">
        <f t="shared" si="7"/>
        <v>0</v>
      </c>
      <c r="AF39" s="274" t="b">
        <f t="shared" si="8"/>
        <v>0</v>
      </c>
      <c r="AG39" s="274" t="b">
        <f>IF(OR('Ответы учащихся'!AA39="N",'Ответы учащихся'!AL39="N"),1)</f>
        <v>0</v>
      </c>
      <c r="AH39" s="289">
        <f>IF(AND(OR($C39&lt;&gt;"",$D39&lt;&gt;""),$A39=1,$AJ$6="ДА"),IF(A39=1,IF('Ответы учащихся'!AK39="N",'Ответы учащихся'!AK39,AF39+AG39),""),"")</f>
        <v>0</v>
      </c>
      <c r="AI39" s="461">
        <f t="shared" si="9"/>
        <v>10</v>
      </c>
      <c r="AJ39" s="128">
        <f t="shared" si="10"/>
        <v>0.4</v>
      </c>
      <c r="AK39" s="133">
        <f t="shared" si="11"/>
        <v>6</v>
      </c>
      <c r="AL39" s="269">
        <f t="shared" si="12"/>
        <v>54.54545454545454</v>
      </c>
      <c r="AM39" s="133">
        <f t="shared" si="13"/>
        <v>4</v>
      </c>
      <c r="AN39" s="269">
        <f t="shared" si="14"/>
        <v>28.571428571428569</v>
      </c>
      <c r="AO39" s="435" t="str">
        <f t="shared" si="15"/>
        <v>БАЗОВЫЙ</v>
      </c>
      <c r="AP39" s="427">
        <f t="shared" si="16"/>
        <v>17.068965517241381</v>
      </c>
      <c r="AQ39" s="182">
        <f t="shared" si="17"/>
        <v>0.6827586206896552</v>
      </c>
      <c r="AR39" s="176">
        <v>6</v>
      </c>
      <c r="AS39" s="181">
        <f t="shared" si="18"/>
        <v>69.905956112852664</v>
      </c>
      <c r="AT39" s="183">
        <f>IF(A39=1,IF(OR(AND(E39=1,'Ответы учащихся'!AB39=0.15),AND(E39=2,'Ответы учащихся'!AB39=-2)),1,IF('Ответы учащихся'!AB39="N",'Ответы учащихся'!AB39,0)),"")</f>
        <v>0</v>
      </c>
      <c r="AU39" s="176">
        <f>IF(A39=1,IF(OR(AND(E39=1,'Ответы учащихся'!AC39="м/с"),AND(E39=2,'Ответы учащихся'!AC39="mV0")),1,IF('Ответы учащихся'!AB39="N",'Ответы учащихся'!AB39,0)),"")</f>
        <v>0</v>
      </c>
      <c r="AV39" s="176">
        <f>IF(A39=1,IF(OR(AND(E39=1,'Ответы учащихся'!AD39=-6),AND(E39=2,'Ответы учащихся'!AD39=-10)),1,IF('Ответы учащихся'!AE39="N",'Ответы учащихся'!AE39,0)),"")</f>
        <v>0</v>
      </c>
      <c r="AW39" s="176">
        <f>IF(A39=1,IF(OR(AND(E39=1,'Ответы учащихся'!AE39="Нм"),AND(E39=2,'Ответы учащихся'!AE39="Нм")),1,IF('Ответы учащихся'!AE39="N",'Ответы учащихся'!AE39,0)),"")</f>
        <v>0</v>
      </c>
      <c r="AX39" s="176">
        <f>IF(A39=1,IF(OR(AND(E39=1,'Ответы учащихся'!AF39=250),AND(E39=2,'Ответы учащихся'!AF39=500)),1,IF('Ответы учащихся'!AF39="N",'Ответы учащихся'!AF39,0)),"")</f>
        <v>0</v>
      </c>
      <c r="AY39" s="176">
        <f>IF(A39=1,IF(OR(AND(E39=1,'Ответы учащихся'!AG39="м"),AND(E39=2,'Ответы учащихся'!AG39="Па")),1,IF('Ответы учащихся'!AF39="N",'Ответы учащихся'!AF39,0)),"")</f>
        <v>0</v>
      </c>
      <c r="AZ39" s="177" t="str">
        <f>IF(E39=1,(IF('Ответы учащихся'!N39=3,1,IF('Ответы учащихся'!N39="N",'Ответы учащихся'!N39,0))),"")</f>
        <v/>
      </c>
      <c r="BA39" s="178">
        <f>IF(E39=2,IF('Ответы учащихся'!N39=1,1,(IF('Ответы учащихся'!N39="N",'Ответы учащихся'!N39,0))),"")</f>
        <v>0</v>
      </c>
      <c r="BB39" s="179" t="str">
        <f>IF(E39=1,IF('Ответы учащихся'!O39=3,1,IF('Ответы учащихся'!O39="N",'Ответы учащихся'!O39,0)),"")</f>
        <v/>
      </c>
      <c r="BC39" s="178">
        <f>IF(E39=2,IF('Ответы учащихся'!O39=2,1,IF('Ответы учащихся'!O39="N",'Ответы учащихся'!O39,0)),"")</f>
        <v>0</v>
      </c>
      <c r="BD39" s="179" t="str">
        <f>IF(E39=1,IF('Ответы учащихся'!P39=1,1,IF('Ответы учащихся'!P39="N",'Ответы учащихся'!P39,0)),"")</f>
        <v/>
      </c>
      <c r="BE39" s="178">
        <f>IF(E39=2,IF('Ответы учащихся'!P39=1,1,IF('Ответы учащихся'!P39="N",'Ответы учащихся'!P39,0)),"")</f>
        <v>0</v>
      </c>
      <c r="BF39" s="176"/>
      <c r="BG39" s="176"/>
      <c r="BH39" s="176"/>
      <c r="BI39" s="176"/>
      <c r="BJ39" s="6"/>
      <c r="BK39" s="6"/>
      <c r="BL39" s="6"/>
      <c r="BM39" s="6"/>
      <c r="BN39" s="6"/>
      <c r="BO39" s="6"/>
    </row>
    <row r="40" spans="1:67" ht="12.75" customHeight="1">
      <c r="A40" s="12">
        <f>IF('СПИСОК КЛАССА'!J40&gt;0,1,0)</f>
        <v>1</v>
      </c>
      <c r="B40" s="313">
        <v>21</v>
      </c>
      <c r="C40" s="314">
        <f>IF(NOT(ISBLANK('СПИСОК КЛАССА'!C40)),'СПИСОК КЛАССА'!C40,"")</f>
        <v>21</v>
      </c>
      <c r="D40" s="314" t="str">
        <f>IF(NOT(ISBLANK('СПИСОК КЛАССА'!D40)),IF($A40=1,'СПИСОК КЛАССА'!D40, "УЧЕНИК НЕ ВЫПОЛНЯЛ РАБОТУ"),"")</f>
        <v>ПИМЕНОВ АРТЕМ</v>
      </c>
      <c r="E40" s="287">
        <f>IF($C40&lt;&gt;"",'СПИСОК КЛАССА'!J40,"")</f>
        <v>2</v>
      </c>
      <c r="F40" s="441">
        <f>IF(AND(OR($C40&lt;&gt;"",$D40&lt;&gt;""),$A40=1,$AJ$6="ДА"),(IF(A40=1,IF(OR(AND(E40=1,'Ответы учащихся'!E40=1),AND(E40=2,'Ответы учащихся'!E40=3)),1,IF('Ответы учащихся'!E40="N",'Ответы учащихся'!E40,0)),"")),"")</f>
        <v>1</v>
      </c>
      <c r="G40" s="442">
        <f>IF(AND(OR($C40&lt;&gt;"",$D40&lt;&gt;""),$A40=1,$AJ$6="ДА"),(IF(A40=1,IF(OR(AND(E40=1,'Ответы учащихся'!F40=2),AND(E40=2,'Ответы учащихся'!F40=3)),1,IF('Ответы учащихся'!F40="N",'Ответы учащихся'!F40,0)),"")),"")</f>
        <v>1</v>
      </c>
      <c r="H40" s="304">
        <f>IF(AND(OR($C40&lt;&gt;"",$D40&lt;&gt;""),$A40=1,$AJ$6="ДА"),IF(A40=1,IF(OR(AND(E40=1,'Ответы учащихся'!G40="GIRL"),AND(E40=2,'Ответы учащихся'!G40="YEARS")),1,IF('Ответы учащихся'!G40="N",'Ответы учащихся'!G40,0)),""),"")</f>
        <v>1</v>
      </c>
      <c r="I40" s="98">
        <f>IF(AND(OR($C40&lt;&gt;"",$D40&lt;&gt;""),$A40=1,$AJ$6="ДА"),IF(A40=1,IF(OR(AND(E40=1,'Ответы учащихся'!H40="SHOUTED"),AND(E40=2,'Ответы учащихся'!H40="HER")),1,IF('Ответы учащихся'!H40="N",'Ответы учащихся'!H40,0)),""),"")</f>
        <v>1</v>
      </c>
      <c r="J40" s="98">
        <f>IF(AND(OR($C40&lt;&gt;"",$D40&lt;&gt;""),$A40=1,$AJ$6="ДА"),IF(A40=1,IF(OR(AND(E40=1,'Ответы учащихся'!I40="ZOO"),AND(E40=2,'Ответы учащихся'!I40="HUSBAND")),1,IF('Ответы учащихся'!I40="N",'Ответы учащихся'!I40,0)),""),"")</f>
        <v>1</v>
      </c>
      <c r="K40" s="98">
        <f>IF(AND(OR($C40&lt;&gt;"",$D40&lt;&gt;""),$A40=1,$AJ$6="ДА"),IF(A40=1,IF(OR(AND(E40=1,'Ответы учащихся'!J40="AT"),AND(E40=2,'Ответы учащихся'!J40="LIVE")),1,IF('Ответы учащихся'!J40="N",'Ответы учащихся'!J40,0)),""),"")</f>
        <v>1</v>
      </c>
      <c r="L40" s="98">
        <f>IF(AND(OR($C40&lt;&gt;"",$D40&lt;&gt;""),$A40=1,$AJ$6="ДА"),IF(A40=1,IF(OR(AND(E40=1,'Ответы учащихся'!K40="SAID"),AND(E40=2,'Ответы учащихся'!K40="MUCH")),1,IF('Ответы учащихся'!K40="N",'Ответы учащихся'!K40,0)),""),"")</f>
        <v>1</v>
      </c>
      <c r="M40" s="98">
        <f>IF(AND(OR($C40&lt;&gt;"",$D40&lt;&gt;""),$A40=1,$AJ$6="ДА"),IF(A40=1,IF(OR(AND(E40=1,'Ответы учащихся'!L40="MORNING"),AND(E40=2,'Ответы учащихся'!L40="SHEEP")),1,IF('Ответы учащихся'!L40="N",'Ответы учащихся'!L40,0)),""),"")</f>
        <v>0</v>
      </c>
      <c r="N40" s="98">
        <f>IF(AND(OR($C40&lt;&gt;"",$D40&lt;&gt;""),$A40=1,$AJ$6="ДА"),IF(A40=1,IF(OR(AND(E40=1,'Ответы учащихся'!M40="MUCH"),AND(E40=2,'Ответы учащихся'!M40="SELL")),1,IF('Ответы учащихся'!M40="N",'Ответы учащихся'!M40,0)),""),"")</f>
        <v>1</v>
      </c>
      <c r="O40" s="131">
        <f>IF(AND(OR($C40&lt;&gt;"",$D40&lt;&gt;""),$A40=1,$AJ$6="ДА"),IF(A40=1,IF(OR(AND(E40=1,'Ответы учащихся'!N40="LIKE"),AND(E40=2,'Ответы учащихся'!N40="IN")),1,IF('Ответы учащихся'!N40="N",'Ответы учащихся'!N40,0)),""),"")</f>
        <v>0</v>
      </c>
      <c r="P40" s="98">
        <f>IF(AND(OR($C40&lt;&gt;"",$D40&lt;&gt;""),$A40=1,$AJ$6="ДА"),IF(A40=1,IF(OR(AND(E40=1,'Ответы учащихся'!O40="ANIMALS"),AND(E40=2,'Ответы учащихся'!O40="CLOTHES")),1,IF('Ответы учащихся'!O40="N",'Ответы учащихся'!O40,0)),""),"")</f>
        <v>1</v>
      </c>
      <c r="Q40" s="98">
        <f>IF(AND(OR($C40&lt;&gt;"",$D40&lt;&gt;""),$A40=1,$AJ$6="ДА"),IF(A40=1,IF(OR(AND(E40=1,'Ответы учащихся'!P40="WE"),AND(E40=2,'Ответы учащихся'!P40="GOES")),1,IF('Ответы учащихся'!P40="N",'Ответы учащихся'!P40,0)),""),"")</f>
        <v>0</v>
      </c>
      <c r="R40" s="98">
        <f>IF(AND(OR($C40&lt;&gt;"",$D40&lt;&gt;""),$A40=1,$AJ$6="ДА"),IF(A40=1,IF(OR(AND(E40=1,'Ответы учащихся'!Q40="ASKED"),AND(E40=2,'Ответы учащихся'!Q40="MADE")),1,IF('Ответы учащихся'!Q40="N",'Ответы учащихся'!Q40,0)),""),"")</f>
        <v>1</v>
      </c>
      <c r="S40" s="98">
        <f>IF(AND(OR($C40&lt;&gt;"",$D40&lt;&gt;""),$A40=1,$AJ$6="ДА"),IF(A40=1,IF(OR(AND(E40=1,'Ответы учащихся'!R40="LOST"),AND(E40=2,'Ответы учащихся'!R40="GOT")),1,IF('Ответы учащихся'!R40="N",'Ответы учащихся'!R40,0)),""),"")</f>
        <v>0</v>
      </c>
      <c r="T40" s="98">
        <f>IF(AND(OR($C40&lt;&gt;"",$D40&lt;&gt;""),$A40=1,$AJ$6="ДА"),IF(A40=1,IF(OR(AND(E40=1,'Ответы учащихся'!S40="GOT"),AND(E40=2,'Ответы учащихся'!S40="CAME")),1,IF('Ответы учащихся'!S40="N",'Ответы учащихся'!S40,0)),""),"")</f>
        <v>1</v>
      </c>
      <c r="U40" s="98">
        <f>IF(AND(OR($C40&lt;&gt;"",$D40&lt;&gt;""),$A40=1,$AJ$6="ДА"),IF(A40=1,IF(OR(AND(E40=1,'Ответы учащихся'!T40="SAW"),AND(E40=2,'Ответы учащихся'!T40="OPENED")),1,IF('Ответы учащихся'!T40="N",'Ответы учащихся'!T40,0)),""),"")</f>
        <v>1</v>
      </c>
      <c r="V40" s="98">
        <f>IF(AND(OR($C40&lt;&gt;"",$D40&lt;&gt;""),$A40=1,$AJ$6="ДА"),IF(A40=1,IF(OR(AND(E40=1,'Ответы учащихся'!U40="WAS"),AND(E40=2,'Ответы учащихся'!U40="TRIED")),1,IF('Ответы учащихся'!U40="N",'Ответы учащихся'!U40,0)),""),"")</f>
        <v>1</v>
      </c>
      <c r="W40" s="98">
        <f>IF(AND(OR($C40&lt;&gt;"",$D40&lt;&gt;""),$A40=1,$AJ$6="ДА"),IF(A40=1,IF(OR(AND(E40=1,'Ответы учащихся'!V40="KNEW"),AND(E40=2,'Ответы учащихся'!V40="SAW")),1,IF('Ответы учащихся'!V40="N",'Ответы учащихся'!V40,0)),""),"")</f>
        <v>1</v>
      </c>
      <c r="X40" s="98">
        <f>IF(AND(OR($C40&lt;&gt;"",$D40&lt;&gt;""),$A40=1,$AJ$6="ДА"),IF(A40=1,IF(OR(AND(E40=1,'Ответы учащихся'!W40="BROKE"),AND(E40=2,'Ответы учащихся'!W40="WENT")),1,IF('Ответы учащихся'!W40="N",'Ответы учащихся'!W40,0)),""),"")</f>
        <v>1</v>
      </c>
      <c r="Y40" s="98">
        <f>IF(AND(OR($C40&lt;&gt;"",$D40&lt;&gt;""),$A40=1,$AJ$6="ДА"),IF(A40=1,IF(OR(AND(E40=1,'Ответы учащихся'!X40="CAME"),AND(E40=2,'Ответы учащихся'!X40="BEGAN")),1,IF('Ответы учащихся'!X40="N",'Ответы учащихся'!X40,0)),""),"")</f>
        <v>0</v>
      </c>
      <c r="Z40" s="98">
        <f>IF(AND(OR($C40&lt;&gt;"",$D40&lt;&gt;""),$A40=1,$AJ$6="ДА"),IF(A40=1,IF(OR(AND(E40=1,'Ответы учащихся'!Y40="RODE"),AND(E40=2,'Ответы учащихся'!Y40="PUT")),1,IF('Ответы учащихся'!Y40="N",'Ответы учащихся'!Y40,0)),""),"")</f>
        <v>1</v>
      </c>
      <c r="AA40" s="305">
        <f>IF(AND(OR($C40&lt;&gt;"",$D40&lt;&gt;""),$A40=1,$AJ$6="ДА"),IF(A40=1,IF(OR(AND(E40=1,'Ответы учащихся'!Z40="TOOK"),AND(E40=2,'Ответы учащихся'!Z40="LEFT")),1,IF('Ответы учащихся'!Z40="N",'Ответы учащихся'!Z40,0)),""),"")</f>
        <v>0</v>
      </c>
      <c r="AB40" s="477">
        <f>IF(AND(OR($C40&lt;&gt;"",$D40&lt;&gt;""),$A40=1,$AJ$6="ДА"),IF(OR('Ответы учащихся'!AA40="N",'Ответы учащихся'!AL40="N"),"N",('Ответы учащихся'!AA40+'Ответы учащихся'!AL40)),"")</f>
        <v>3</v>
      </c>
      <c r="AC40" s="310" t="b">
        <f t="shared" si="5"/>
        <v>0</v>
      </c>
      <c r="AD40" s="274" t="b">
        <f t="shared" si="6"/>
        <v>0</v>
      </c>
      <c r="AE40" s="274">
        <f t="shared" si="7"/>
        <v>1</v>
      </c>
      <c r="AF40" s="274" t="b">
        <f t="shared" si="8"/>
        <v>0</v>
      </c>
      <c r="AG40" s="274" t="b">
        <f>IF(OR('Ответы учащихся'!AA40="N",'Ответы учащихся'!AL40="N"),1)</f>
        <v>0</v>
      </c>
      <c r="AH40" s="289">
        <f>IF(AND(OR($C40&lt;&gt;"",$D40&lt;&gt;""),$A40=1,$AJ$6="ДА"),IF(A40=1,IF('Ответы учащихся'!AK40="N",'Ответы учащихся'!AK40,AF40+AG40),""),"")</f>
        <v>0</v>
      </c>
      <c r="AI40" s="461">
        <f t="shared" si="9"/>
        <v>19</v>
      </c>
      <c r="AJ40" s="128">
        <f t="shared" si="10"/>
        <v>0.76</v>
      </c>
      <c r="AK40" s="133">
        <f t="shared" si="11"/>
        <v>8</v>
      </c>
      <c r="AL40" s="269">
        <f t="shared" si="12"/>
        <v>72.727272727272734</v>
      </c>
      <c r="AM40" s="133">
        <f t="shared" si="13"/>
        <v>11</v>
      </c>
      <c r="AN40" s="269">
        <f t="shared" si="14"/>
        <v>78.571428571428569</v>
      </c>
      <c r="AO40" s="435" t="str">
        <f t="shared" si="15"/>
        <v>ПОВЫШЕННЫЙ</v>
      </c>
      <c r="AP40" s="427">
        <f t="shared" si="16"/>
        <v>17.068965517241381</v>
      </c>
      <c r="AQ40" s="182">
        <f t="shared" si="17"/>
        <v>0.6827586206896552</v>
      </c>
      <c r="AR40" s="176">
        <v>6</v>
      </c>
      <c r="AS40" s="181">
        <f t="shared" si="18"/>
        <v>69.905956112852664</v>
      </c>
      <c r="AT40" s="183">
        <f>IF(A40=1,IF(OR(AND(E40=1,'Ответы учащихся'!AB40=0.15),AND(E40=2,'Ответы учащихся'!AB40=-2)),1,IF('Ответы учащихся'!AB40="N",'Ответы учащихся'!AB40,0)),"")</f>
        <v>0</v>
      </c>
      <c r="AU40" s="176">
        <f>IF(A40=1,IF(OR(AND(E40=1,'Ответы учащихся'!AC40="м/с"),AND(E40=2,'Ответы учащихся'!AC40="mV0")),1,IF('Ответы учащихся'!AB40="N",'Ответы учащихся'!AB40,0)),"")</f>
        <v>0</v>
      </c>
      <c r="AV40" s="176">
        <f>IF(A40=1,IF(OR(AND(E40=1,'Ответы учащихся'!AD40=-6),AND(E40=2,'Ответы учащихся'!AD40=-10)),1,IF('Ответы учащихся'!AE40="N",'Ответы учащихся'!AE40,0)),"")</f>
        <v>0</v>
      </c>
      <c r="AW40" s="176">
        <f>IF(A40=1,IF(OR(AND(E40=1,'Ответы учащихся'!AE40="Нм"),AND(E40=2,'Ответы учащихся'!AE40="Нм")),1,IF('Ответы учащихся'!AE40="N",'Ответы учащихся'!AE40,0)),"")</f>
        <v>0</v>
      </c>
      <c r="AX40" s="176">
        <f>IF(A40=1,IF(OR(AND(E40=1,'Ответы учащихся'!AF40=250),AND(E40=2,'Ответы учащихся'!AF40=500)),1,IF('Ответы учащихся'!AF40="N",'Ответы учащихся'!AF40,0)),"")</f>
        <v>0</v>
      </c>
      <c r="AY40" s="176">
        <f>IF(A40=1,IF(OR(AND(E40=1,'Ответы учащихся'!AG40="м"),AND(E40=2,'Ответы учащихся'!AG40="Па")),1,IF('Ответы учащихся'!AF40="N",'Ответы учащихся'!AF40,0)),"")</f>
        <v>0</v>
      </c>
      <c r="AZ40" s="177" t="str">
        <f>IF(E40=1,(IF('Ответы учащихся'!N40=3,1,IF('Ответы учащихся'!N40="N",'Ответы учащихся'!N40,0))),"")</f>
        <v/>
      </c>
      <c r="BA40" s="178">
        <f>IF(E40=2,IF('Ответы учащихся'!N40=1,1,(IF('Ответы учащихся'!N40="N",'Ответы учащихся'!N40,0))),"")</f>
        <v>0</v>
      </c>
      <c r="BB40" s="179" t="str">
        <f>IF(E40=1,IF('Ответы учащихся'!O40=3,1,IF('Ответы учащихся'!O40="N",'Ответы учащихся'!O40,0)),"")</f>
        <v/>
      </c>
      <c r="BC40" s="178">
        <f>IF(E40=2,IF('Ответы учащихся'!O40=2,1,IF('Ответы учащихся'!O40="N",'Ответы учащихся'!O40,0)),"")</f>
        <v>0</v>
      </c>
      <c r="BD40" s="179" t="str">
        <f>IF(E40=1,IF('Ответы учащихся'!P40=1,1,IF('Ответы учащихся'!P40="N",'Ответы учащихся'!P40,0)),"")</f>
        <v/>
      </c>
      <c r="BE40" s="178">
        <f>IF(E40=2,IF('Ответы учащихся'!P40=1,1,IF('Ответы учащихся'!P40="N",'Ответы учащихся'!P40,0)),"")</f>
        <v>0</v>
      </c>
      <c r="BF40" s="176"/>
      <c r="BG40" s="176"/>
      <c r="BH40" s="176"/>
      <c r="BI40" s="176"/>
      <c r="BJ40" s="6"/>
      <c r="BK40" s="6"/>
      <c r="BL40" s="6"/>
      <c r="BM40" s="6"/>
      <c r="BN40" s="6"/>
      <c r="BO40" s="6"/>
    </row>
    <row r="41" spans="1:67" ht="12.75" customHeight="1">
      <c r="A41" s="12">
        <f>IF('СПИСОК КЛАССА'!J41&gt;0,1,0)</f>
        <v>1</v>
      </c>
      <c r="B41" s="313">
        <v>22</v>
      </c>
      <c r="C41" s="314">
        <f>IF(NOT(ISBLANK('СПИСОК КЛАССА'!C41)),'СПИСОК КЛАССА'!C41,"")</f>
        <v>22</v>
      </c>
      <c r="D41" s="314" t="str">
        <f>IF(NOT(ISBLANK('СПИСОК КЛАССА'!D41)),IF($A41=1,'СПИСОК КЛАССА'!D41, "УЧЕНИК НЕ ВЫПОЛНЯЛ РАБОТУ"),"")</f>
        <v>ПОДЛЕДНЕВ АЛЕКСАНДР</v>
      </c>
      <c r="E41" s="287">
        <f>IF($C41&lt;&gt;"",'СПИСОК КЛАССА'!J41,"")</f>
        <v>1</v>
      </c>
      <c r="F41" s="441">
        <f>IF(AND(OR($C41&lt;&gt;"",$D41&lt;&gt;""),$A41=1,$AJ$6="ДА"),(IF(A41=1,IF(OR(AND(E41=1,'Ответы учащихся'!E41=1),AND(E41=2,'Ответы учащихся'!E41=3)),1,IF('Ответы учащихся'!E41="N",'Ответы учащихся'!E41,0)),"")),"")</f>
        <v>1</v>
      </c>
      <c r="G41" s="442">
        <f>IF(AND(OR($C41&lt;&gt;"",$D41&lt;&gt;""),$A41=1,$AJ$6="ДА"),(IF(A41=1,IF(OR(AND(E41=1,'Ответы учащихся'!F41=2),AND(E41=2,'Ответы учащихся'!F41=3)),1,IF('Ответы учащихся'!F41="N",'Ответы учащихся'!F41,0)),"")),"")</f>
        <v>1</v>
      </c>
      <c r="H41" s="304">
        <f>IF(AND(OR($C41&lt;&gt;"",$D41&lt;&gt;""),$A41=1,$AJ$6="ДА"),IF(A41=1,IF(OR(AND(E41=1,'Ответы учащихся'!G41="GIRL"),AND(E41=2,'Ответы учащихся'!G41="YEARS")),1,IF('Ответы учащихся'!G41="N",'Ответы учащихся'!G41,0)),""),"")</f>
        <v>1</v>
      </c>
      <c r="I41" s="98">
        <f>IF(AND(OR($C41&lt;&gt;"",$D41&lt;&gt;""),$A41=1,$AJ$6="ДА"),IF(A41=1,IF(OR(AND(E41=1,'Ответы учащихся'!H41="SHOUTED"),AND(E41=2,'Ответы учащихся'!H41="HER")),1,IF('Ответы учащихся'!H41="N",'Ответы учащихся'!H41,0)),""),"")</f>
        <v>1</v>
      </c>
      <c r="J41" s="98">
        <f>IF(AND(OR($C41&lt;&gt;"",$D41&lt;&gt;""),$A41=1,$AJ$6="ДА"),IF(A41=1,IF(OR(AND(E41=1,'Ответы учащихся'!I41="ZOO"),AND(E41=2,'Ответы учащихся'!I41="HUSBAND")),1,IF('Ответы учащихся'!I41="N",'Ответы учащихся'!I41,0)),""),"")</f>
        <v>1</v>
      </c>
      <c r="K41" s="98">
        <f>IF(AND(OR($C41&lt;&gt;"",$D41&lt;&gt;""),$A41=1,$AJ$6="ДА"),IF(A41=1,IF(OR(AND(E41=1,'Ответы учащихся'!J41="AT"),AND(E41=2,'Ответы учащихся'!J41="LIVE")),1,IF('Ответы учащихся'!J41="N",'Ответы учащихся'!J41,0)),""),"")</f>
        <v>1</v>
      </c>
      <c r="L41" s="98">
        <f>IF(AND(OR($C41&lt;&gt;"",$D41&lt;&gt;""),$A41=1,$AJ$6="ДА"),IF(A41=1,IF(OR(AND(E41=1,'Ответы учащихся'!K41="SAID"),AND(E41=2,'Ответы учащихся'!K41="MUCH")),1,IF('Ответы учащихся'!K41="N",'Ответы учащихся'!K41,0)),""),"")</f>
        <v>1</v>
      </c>
      <c r="M41" s="98">
        <f>IF(AND(OR($C41&lt;&gt;"",$D41&lt;&gt;""),$A41=1,$AJ$6="ДА"),IF(A41=1,IF(OR(AND(E41=1,'Ответы учащихся'!L41="MORNING"),AND(E41=2,'Ответы учащихся'!L41="SHEEP")),1,IF('Ответы учащихся'!L41="N",'Ответы учащихся'!L41,0)),""),"")</f>
        <v>1</v>
      </c>
      <c r="N41" s="98">
        <f>IF(AND(OR($C41&lt;&gt;"",$D41&lt;&gt;""),$A41=1,$AJ$6="ДА"),IF(A41=1,IF(OR(AND(E41=1,'Ответы учащихся'!M41="MUCH"),AND(E41=2,'Ответы учащихся'!M41="SELL")),1,IF('Ответы учащихся'!M41="N",'Ответы учащихся'!M41,0)),""),"")</f>
        <v>0</v>
      </c>
      <c r="O41" s="131">
        <f>IF(AND(OR($C41&lt;&gt;"",$D41&lt;&gt;""),$A41=1,$AJ$6="ДА"),IF(A41=1,IF(OR(AND(E41=1,'Ответы учащихся'!N41="LIKE"),AND(E41=2,'Ответы учащихся'!N41="IN")),1,IF('Ответы учащихся'!N41="N",'Ответы учащихся'!N41,0)),""),"")</f>
        <v>1</v>
      </c>
      <c r="P41" s="98">
        <f>IF(AND(OR($C41&lt;&gt;"",$D41&lt;&gt;""),$A41=1,$AJ$6="ДА"),IF(A41=1,IF(OR(AND(E41=1,'Ответы учащихся'!O41="ANIMALS"),AND(E41=2,'Ответы учащихся'!O41="CLOTHES")),1,IF('Ответы учащихся'!O41="N",'Ответы учащихся'!O41,0)),""),"")</f>
        <v>1</v>
      </c>
      <c r="Q41" s="98">
        <f>IF(AND(OR($C41&lt;&gt;"",$D41&lt;&gt;""),$A41=1,$AJ$6="ДА"),IF(A41=1,IF(OR(AND(E41=1,'Ответы учащихся'!P41="WE"),AND(E41=2,'Ответы учащихся'!P41="GOES")),1,IF('Ответы учащихся'!P41="N",'Ответы учащихся'!P41,0)),""),"")</f>
        <v>1</v>
      </c>
      <c r="R41" s="98">
        <f>IF(AND(OR($C41&lt;&gt;"",$D41&lt;&gt;""),$A41=1,$AJ$6="ДА"),IF(A41=1,IF(OR(AND(E41=1,'Ответы учащихся'!Q41="ASKED"),AND(E41=2,'Ответы учащихся'!Q41="MADE")),1,IF('Ответы учащихся'!Q41="N",'Ответы учащихся'!Q41,0)),""),"")</f>
        <v>1</v>
      </c>
      <c r="S41" s="98">
        <f>IF(AND(OR($C41&lt;&gt;"",$D41&lt;&gt;""),$A41=1,$AJ$6="ДА"),IF(A41=1,IF(OR(AND(E41=1,'Ответы учащихся'!R41="LOST"),AND(E41=2,'Ответы учащихся'!R41="GOT")),1,IF('Ответы учащихся'!R41="N",'Ответы учащихся'!R41,0)),""),"")</f>
        <v>1</v>
      </c>
      <c r="T41" s="98">
        <f>IF(AND(OR($C41&lt;&gt;"",$D41&lt;&gt;""),$A41=1,$AJ$6="ДА"),IF(A41=1,IF(OR(AND(E41=1,'Ответы учащихся'!S41="GOT"),AND(E41=2,'Ответы учащихся'!S41="CAME")),1,IF('Ответы учащихся'!S41="N",'Ответы учащихся'!S41,0)),""),"")</f>
        <v>1</v>
      </c>
      <c r="U41" s="98">
        <f>IF(AND(OR($C41&lt;&gt;"",$D41&lt;&gt;""),$A41=1,$AJ$6="ДА"),IF(A41=1,IF(OR(AND(E41=1,'Ответы учащихся'!T41="SAW"),AND(E41=2,'Ответы учащихся'!T41="OPENED")),1,IF('Ответы учащихся'!T41="N",'Ответы учащихся'!T41,0)),""),"")</f>
        <v>1</v>
      </c>
      <c r="V41" s="98">
        <f>IF(AND(OR($C41&lt;&gt;"",$D41&lt;&gt;""),$A41=1,$AJ$6="ДА"),IF(A41=1,IF(OR(AND(E41=1,'Ответы учащихся'!U41="WAS"),AND(E41=2,'Ответы учащихся'!U41="TRIED")),1,IF('Ответы учащихся'!U41="N",'Ответы учащихся'!U41,0)),""),"")</f>
        <v>1</v>
      </c>
      <c r="W41" s="98">
        <f>IF(AND(OR($C41&lt;&gt;"",$D41&lt;&gt;""),$A41=1,$AJ$6="ДА"),IF(A41=1,IF(OR(AND(E41=1,'Ответы учащихся'!V41="KNEW"),AND(E41=2,'Ответы учащихся'!V41="SAW")),1,IF('Ответы учащихся'!V41="N",'Ответы учащихся'!V41,0)),""),"")</f>
        <v>1</v>
      </c>
      <c r="X41" s="98">
        <f>IF(AND(OR($C41&lt;&gt;"",$D41&lt;&gt;""),$A41=1,$AJ$6="ДА"),IF(A41=1,IF(OR(AND(E41=1,'Ответы учащихся'!W41="BROKE"),AND(E41=2,'Ответы учащихся'!W41="WENT")),1,IF('Ответы учащихся'!W41="N",'Ответы учащихся'!W41,0)),""),"")</f>
        <v>1</v>
      </c>
      <c r="Y41" s="98">
        <f>IF(AND(OR($C41&lt;&gt;"",$D41&lt;&gt;""),$A41=1,$AJ$6="ДА"),IF(A41=1,IF(OR(AND(E41=1,'Ответы учащихся'!X41="CAME"),AND(E41=2,'Ответы учащихся'!X41="BEGAN")),1,IF('Ответы учащихся'!X41="N",'Ответы учащихся'!X41,0)),""),"")</f>
        <v>1</v>
      </c>
      <c r="Z41" s="98">
        <f>IF(AND(OR($C41&lt;&gt;"",$D41&lt;&gt;""),$A41=1,$AJ$6="ДА"),IF(A41=1,IF(OR(AND(E41=1,'Ответы учащихся'!Y41="RODE"),AND(E41=2,'Ответы учащихся'!Y41="PUT")),1,IF('Ответы учащихся'!Y41="N",'Ответы учащихся'!Y41,0)),""),"")</f>
        <v>1</v>
      </c>
      <c r="AA41" s="305">
        <f>IF(AND(OR($C41&lt;&gt;"",$D41&lt;&gt;""),$A41=1,$AJ$6="ДА"),IF(A41=1,IF(OR(AND(E41=1,'Ответы учащихся'!Z41="TOOK"),AND(E41=2,'Ответы учащихся'!Z41="LEFT")),1,IF('Ответы учащихся'!Z41="N",'Ответы учащихся'!Z41,0)),""),"")</f>
        <v>1</v>
      </c>
      <c r="AB41" s="477">
        <f>IF(AND(OR($C41&lt;&gt;"",$D41&lt;&gt;""),$A41=1,$AJ$6="ДА"),IF(OR('Ответы учащихся'!AA41="N",'Ответы учащихся'!AL41="N"),"N",('Ответы учащихся'!AA41+'Ответы учащихся'!AL41)),"")</f>
        <v>3</v>
      </c>
      <c r="AC41" s="310" t="b">
        <f t="shared" si="5"/>
        <v>0</v>
      </c>
      <c r="AD41" s="274" t="b">
        <f t="shared" si="6"/>
        <v>0</v>
      </c>
      <c r="AE41" s="274">
        <f t="shared" si="7"/>
        <v>1</v>
      </c>
      <c r="AF41" s="274" t="b">
        <f t="shared" si="8"/>
        <v>0</v>
      </c>
      <c r="AG41" s="274" t="b">
        <f>IF(OR('Ответы учащихся'!AA41="N",'Ответы учащихся'!AL41="N"),1)</f>
        <v>0</v>
      </c>
      <c r="AH41" s="289">
        <f>IF(AND(OR($C41&lt;&gt;"",$D41&lt;&gt;""),$A41=1,$AJ$6="ДА"),IF(A41=1,IF('Ответы учащихся'!AK41="N",'Ответы учащихся'!AK41,AF41+AG41),""),"")</f>
        <v>0</v>
      </c>
      <c r="AI41" s="461">
        <f t="shared" si="9"/>
        <v>24</v>
      </c>
      <c r="AJ41" s="128">
        <f t="shared" si="10"/>
        <v>0.96</v>
      </c>
      <c r="AK41" s="133">
        <f t="shared" si="11"/>
        <v>10</v>
      </c>
      <c r="AL41" s="269">
        <f t="shared" si="12"/>
        <v>90.909090909090907</v>
      </c>
      <c r="AM41" s="133">
        <f t="shared" si="13"/>
        <v>14</v>
      </c>
      <c r="AN41" s="269">
        <f t="shared" si="14"/>
        <v>100</v>
      </c>
      <c r="AO41" s="435" t="str">
        <f t="shared" si="15"/>
        <v>ВЫСОКИЙ</v>
      </c>
      <c r="AP41" s="427">
        <f t="shared" si="16"/>
        <v>17.068965517241381</v>
      </c>
      <c r="AQ41" s="182">
        <f t="shared" si="17"/>
        <v>0.6827586206896552</v>
      </c>
      <c r="AR41" s="176">
        <v>6</v>
      </c>
      <c r="AS41" s="181">
        <f t="shared" si="18"/>
        <v>69.905956112852664</v>
      </c>
      <c r="AT41" s="183">
        <f>IF(A41=1,IF(OR(AND(E41=1,'Ответы учащихся'!AB41=0.15),AND(E41=2,'Ответы учащихся'!AB41=-2)),1,IF('Ответы учащихся'!AB41="N",'Ответы учащихся'!AB41,0)),"")</f>
        <v>0</v>
      </c>
      <c r="AU41" s="176">
        <f>IF(A41=1,IF(OR(AND(E41=1,'Ответы учащихся'!AC41="м/с"),AND(E41=2,'Ответы учащихся'!AC41="mV0")),1,IF('Ответы учащихся'!AB41="N",'Ответы учащихся'!AB41,0)),"")</f>
        <v>0</v>
      </c>
      <c r="AV41" s="176">
        <f>IF(A41=1,IF(OR(AND(E41=1,'Ответы учащихся'!AD41=-6),AND(E41=2,'Ответы учащихся'!AD41=-10)),1,IF('Ответы учащихся'!AE41="N",'Ответы учащихся'!AE41,0)),"")</f>
        <v>0</v>
      </c>
      <c r="AW41" s="176">
        <f>IF(A41=1,IF(OR(AND(E41=1,'Ответы учащихся'!AE41="Нм"),AND(E41=2,'Ответы учащихся'!AE41="Нм")),1,IF('Ответы учащихся'!AE41="N",'Ответы учащихся'!AE41,0)),"")</f>
        <v>0</v>
      </c>
      <c r="AX41" s="176">
        <f>IF(A41=1,IF(OR(AND(E41=1,'Ответы учащихся'!AF41=250),AND(E41=2,'Ответы учащихся'!AF41=500)),1,IF('Ответы учащихся'!AF41="N",'Ответы учащихся'!AF41,0)),"")</f>
        <v>0</v>
      </c>
      <c r="AY41" s="176">
        <f>IF(A41=1,IF(OR(AND(E41=1,'Ответы учащихся'!AG41="м"),AND(E41=2,'Ответы учащихся'!AG41="Па")),1,IF('Ответы учащихся'!AF41="N",'Ответы учащихся'!AF41,0)),"")</f>
        <v>0</v>
      </c>
      <c r="AZ41" s="177">
        <f>IF(E41=1,(IF('Ответы учащихся'!N41=3,1,IF('Ответы учащихся'!N41="N",'Ответы учащихся'!N41,0))),"")</f>
        <v>0</v>
      </c>
      <c r="BA41" s="178" t="str">
        <f>IF(E41=2,IF('Ответы учащихся'!N41=1,1,(IF('Ответы учащихся'!N41="N",'Ответы учащихся'!N41,0))),"")</f>
        <v/>
      </c>
      <c r="BB41" s="179">
        <f>IF(E41=1,IF('Ответы учащихся'!O41=3,1,IF('Ответы учащихся'!O41="N",'Ответы учащихся'!O41,0)),"")</f>
        <v>0</v>
      </c>
      <c r="BC41" s="178" t="str">
        <f>IF(E41=2,IF('Ответы учащихся'!O41=2,1,IF('Ответы учащихся'!O41="N",'Ответы учащихся'!O41,0)),"")</f>
        <v/>
      </c>
      <c r="BD41" s="179">
        <f>IF(E41=1,IF('Ответы учащихся'!P41=1,1,IF('Ответы учащихся'!P41="N",'Ответы учащихся'!P41,0)),"")</f>
        <v>0</v>
      </c>
      <c r="BE41" s="178" t="str">
        <f>IF(E41=2,IF('Ответы учащихся'!P41=1,1,IF('Ответы учащихся'!P41="N",'Ответы учащихся'!P41,0)),"")</f>
        <v/>
      </c>
      <c r="BF41" s="176"/>
      <c r="BG41" s="176"/>
      <c r="BH41" s="176"/>
      <c r="BI41" s="176"/>
      <c r="BJ41" s="6"/>
      <c r="BK41" s="6"/>
      <c r="BL41" s="6"/>
      <c r="BM41" s="6"/>
      <c r="BN41" s="6"/>
      <c r="BO41" s="6"/>
    </row>
    <row r="42" spans="1:67" ht="12.75" customHeight="1">
      <c r="A42" s="12">
        <f>IF('СПИСОК КЛАССА'!J42&gt;0,1,0)</f>
        <v>1</v>
      </c>
      <c r="B42" s="313">
        <v>23</v>
      </c>
      <c r="C42" s="314">
        <f>IF(NOT(ISBLANK('СПИСОК КЛАССА'!C42)),'СПИСОК КЛАССА'!C42,"")</f>
        <v>23</v>
      </c>
      <c r="D42" s="314" t="str">
        <f>IF(NOT(ISBLANK('СПИСОК КЛАССА'!D42)),IF($A42=1,'СПИСОК КЛАССА'!D42, "УЧЕНИК НЕ ВЫПОЛНЯЛ РАБОТУ"),"")</f>
        <v>ПУЧКИНА ДАРЬЯ</v>
      </c>
      <c r="E42" s="287">
        <f>IF($C42&lt;&gt;"",'СПИСОК КЛАССА'!J42,"")</f>
        <v>1</v>
      </c>
      <c r="F42" s="441">
        <f>IF(AND(OR($C42&lt;&gt;"",$D42&lt;&gt;""),$A42=1,$AJ$6="ДА"),(IF(A42=1,IF(OR(AND(E42=1,'Ответы учащихся'!E42=1),AND(E42=2,'Ответы учащихся'!E42=3)),1,IF('Ответы учащихся'!E42="N",'Ответы учащихся'!E42,0)),"")),"")</f>
        <v>1</v>
      </c>
      <c r="G42" s="442">
        <f>IF(AND(OR($C42&lt;&gt;"",$D42&lt;&gt;""),$A42=1,$AJ$6="ДА"),(IF(A42=1,IF(OR(AND(E42=1,'Ответы учащихся'!F42=2),AND(E42=2,'Ответы учащихся'!F42=3)),1,IF('Ответы учащихся'!F42="N",'Ответы учащихся'!F42,0)),"")),"")</f>
        <v>1</v>
      </c>
      <c r="H42" s="304">
        <f>IF(AND(OR($C42&lt;&gt;"",$D42&lt;&gt;""),$A42=1,$AJ$6="ДА"),IF(A42=1,IF(OR(AND(E42=1,'Ответы учащихся'!G42="GIRL"),AND(E42=2,'Ответы учащихся'!G42="YEARS")),1,IF('Ответы учащихся'!G42="N",'Ответы учащихся'!G42,0)),""),"")</f>
        <v>1</v>
      </c>
      <c r="I42" s="98">
        <f>IF(AND(OR($C42&lt;&gt;"",$D42&lt;&gt;""),$A42=1,$AJ$6="ДА"),IF(A42=1,IF(OR(AND(E42=1,'Ответы учащихся'!H42="SHOUTED"),AND(E42=2,'Ответы учащихся'!H42="HER")),1,IF('Ответы учащихся'!H42="N",'Ответы учащихся'!H42,0)),""),"")</f>
        <v>0</v>
      </c>
      <c r="J42" s="98">
        <f>IF(AND(OR($C42&lt;&gt;"",$D42&lt;&gt;""),$A42=1,$AJ$6="ДА"),IF(A42=1,IF(OR(AND(E42=1,'Ответы учащихся'!I42="ZOO"),AND(E42=2,'Ответы учащихся'!I42="HUSBAND")),1,IF('Ответы учащихся'!I42="N",'Ответы учащихся'!I42,0)),""),"")</f>
        <v>0</v>
      </c>
      <c r="K42" s="98">
        <f>IF(AND(OR($C42&lt;&gt;"",$D42&lt;&gt;""),$A42=1,$AJ$6="ДА"),IF(A42=1,IF(OR(AND(E42=1,'Ответы учащихся'!J42="AT"),AND(E42=2,'Ответы учащихся'!J42="LIVE")),1,IF('Ответы учащихся'!J42="N",'Ответы учащихся'!J42,0)),""),"")</f>
        <v>1</v>
      </c>
      <c r="L42" s="98">
        <f>IF(AND(OR($C42&lt;&gt;"",$D42&lt;&gt;""),$A42=1,$AJ$6="ДА"),IF(A42=1,IF(OR(AND(E42=1,'Ответы учащихся'!K42="SAID"),AND(E42=2,'Ответы учащихся'!K42="MUCH")),1,IF('Ответы учащихся'!K42="N",'Ответы учащихся'!K42,0)),""),"")</f>
        <v>1</v>
      </c>
      <c r="M42" s="98">
        <f>IF(AND(OR($C42&lt;&gt;"",$D42&lt;&gt;""),$A42=1,$AJ$6="ДА"),IF(A42=1,IF(OR(AND(E42=1,'Ответы учащихся'!L42="MORNING"),AND(E42=2,'Ответы учащихся'!L42="SHEEP")),1,IF('Ответы учащихся'!L42="N",'Ответы учащихся'!L42,0)),""),"")</f>
        <v>1</v>
      </c>
      <c r="N42" s="98">
        <f>IF(AND(OR($C42&lt;&gt;"",$D42&lt;&gt;""),$A42=1,$AJ$6="ДА"),IF(A42=1,IF(OR(AND(E42=1,'Ответы учащихся'!M42="MUCH"),AND(E42=2,'Ответы учащихся'!M42="SELL")),1,IF('Ответы учащихся'!M42="N",'Ответы учащихся'!M42,0)),""),"")</f>
        <v>1</v>
      </c>
      <c r="O42" s="131">
        <f>IF(AND(OR($C42&lt;&gt;"",$D42&lt;&gt;""),$A42=1,$AJ$6="ДА"),IF(A42=1,IF(OR(AND(E42=1,'Ответы учащихся'!N42="LIKE"),AND(E42=2,'Ответы учащихся'!N42="IN")),1,IF('Ответы учащихся'!N42="N",'Ответы учащихся'!N42,0)),""),"")</f>
        <v>0</v>
      </c>
      <c r="P42" s="98">
        <f>IF(AND(OR($C42&lt;&gt;"",$D42&lt;&gt;""),$A42=1,$AJ$6="ДА"),IF(A42=1,IF(OR(AND(E42=1,'Ответы учащихся'!O42="ANIMALS"),AND(E42=2,'Ответы учащихся'!O42="CLOTHES")),1,IF('Ответы учащихся'!O42="N",'Ответы учащихся'!O42,0)),""),"")</f>
        <v>0</v>
      </c>
      <c r="Q42" s="98">
        <f>IF(AND(OR($C42&lt;&gt;"",$D42&lt;&gt;""),$A42=1,$AJ$6="ДА"),IF(A42=1,IF(OR(AND(E42=1,'Ответы учащихся'!P42="WE"),AND(E42=2,'Ответы учащихся'!P42="GOES")),1,IF('Ответы учащихся'!P42="N",'Ответы учащихся'!P42,0)),""),"")</f>
        <v>0</v>
      </c>
      <c r="R42" s="98">
        <f>IF(AND(OR($C42&lt;&gt;"",$D42&lt;&gt;""),$A42=1,$AJ$6="ДА"),IF(A42=1,IF(OR(AND(E42=1,'Ответы учащихся'!Q42="ASKED"),AND(E42=2,'Ответы учащихся'!Q42="MADE")),1,IF('Ответы учащихся'!Q42="N",'Ответы учащихся'!Q42,0)),""),"")</f>
        <v>0</v>
      </c>
      <c r="S42" s="98" t="str">
        <f>IF(AND(OR($C42&lt;&gt;"",$D42&lt;&gt;""),$A42=1,$AJ$6="ДА"),IF(A42=1,IF(OR(AND(E42=1,'Ответы учащихся'!R42="LOST"),AND(E42=2,'Ответы учащихся'!R42="GOT")),1,IF('Ответы учащихся'!R42="N",'Ответы учащихся'!R42,0)),""),"")</f>
        <v>N</v>
      </c>
      <c r="T42" s="98">
        <f>IF(AND(OR($C42&lt;&gt;"",$D42&lt;&gt;""),$A42=1,$AJ$6="ДА"),IF(A42=1,IF(OR(AND(E42=1,'Ответы учащихся'!S42="GOT"),AND(E42=2,'Ответы учащихся'!S42="CAME")),1,IF('Ответы учащихся'!S42="N",'Ответы учащихся'!S42,0)),""),"")</f>
        <v>1</v>
      </c>
      <c r="U42" s="98">
        <f>IF(AND(OR($C42&lt;&gt;"",$D42&lt;&gt;""),$A42=1,$AJ$6="ДА"),IF(A42=1,IF(OR(AND(E42=1,'Ответы учащихся'!T42="SAW"),AND(E42=2,'Ответы учащихся'!T42="OPENED")),1,IF('Ответы учащихся'!T42="N",'Ответы учащихся'!T42,0)),""),"")</f>
        <v>1</v>
      </c>
      <c r="V42" s="98">
        <f>IF(AND(OR($C42&lt;&gt;"",$D42&lt;&gt;""),$A42=1,$AJ$6="ДА"),IF(A42=1,IF(OR(AND(E42=1,'Ответы учащихся'!U42="WAS"),AND(E42=2,'Ответы учащихся'!U42="TRIED")),1,IF('Ответы учащихся'!U42="N",'Ответы учащихся'!U42,0)),""),"")</f>
        <v>0</v>
      </c>
      <c r="W42" s="98">
        <f>IF(AND(OR($C42&lt;&gt;"",$D42&lt;&gt;""),$A42=1,$AJ$6="ДА"),IF(A42=1,IF(OR(AND(E42=1,'Ответы учащихся'!V42="KNEW"),AND(E42=2,'Ответы учащихся'!V42="SAW")),1,IF('Ответы учащихся'!V42="N",'Ответы учащихся'!V42,0)),""),"")</f>
        <v>1</v>
      </c>
      <c r="X42" s="98">
        <f>IF(AND(OR($C42&lt;&gt;"",$D42&lt;&gt;""),$A42=1,$AJ$6="ДА"),IF(A42=1,IF(OR(AND(E42=1,'Ответы учащихся'!W42="BROKE"),AND(E42=2,'Ответы учащихся'!W42="WENT")),1,IF('Ответы учащихся'!W42="N",'Ответы учащихся'!W42,0)),""),"")</f>
        <v>1</v>
      </c>
      <c r="Y42" s="98">
        <f>IF(AND(OR($C42&lt;&gt;"",$D42&lt;&gt;""),$A42=1,$AJ$6="ДА"),IF(A42=1,IF(OR(AND(E42=1,'Ответы учащихся'!X42="CAME"),AND(E42=2,'Ответы учащихся'!X42="BEGAN")),1,IF('Ответы учащихся'!X42="N",'Ответы учащихся'!X42,0)),""),"")</f>
        <v>1</v>
      </c>
      <c r="Z42" s="98">
        <f>IF(AND(OR($C42&lt;&gt;"",$D42&lt;&gt;""),$A42=1,$AJ$6="ДА"),IF(A42=1,IF(OR(AND(E42=1,'Ответы учащихся'!Y42="RODE"),AND(E42=2,'Ответы учащихся'!Y42="PUT")),1,IF('Ответы учащихся'!Y42="N",'Ответы учащихся'!Y42,0)),""),"")</f>
        <v>0</v>
      </c>
      <c r="AA42" s="305">
        <f>IF(AND(OR($C42&lt;&gt;"",$D42&lt;&gt;""),$A42=1,$AJ$6="ДА"),IF(A42=1,IF(OR(AND(E42=1,'Ответы учащихся'!Z42="TOOK"),AND(E42=2,'Ответы учащихся'!Z42="LEFT")),1,IF('Ответы учащихся'!Z42="N",'Ответы учащихся'!Z42,0)),""),"")</f>
        <v>0</v>
      </c>
      <c r="AB42" s="477">
        <f>IF(AND(OR($C42&lt;&gt;"",$D42&lt;&gt;""),$A42=1,$AJ$6="ДА"),IF(OR('Ответы учащихся'!AA42="N",'Ответы учащихся'!AL42="N"),"N",('Ответы учащихся'!AA42+'Ответы учащихся'!AL42)),"")</f>
        <v>2</v>
      </c>
      <c r="AC42" s="310" t="b">
        <f t="shared" si="5"/>
        <v>0</v>
      </c>
      <c r="AD42" s="274">
        <f t="shared" si="6"/>
        <v>1</v>
      </c>
      <c r="AE42" s="274" t="b">
        <f t="shared" si="7"/>
        <v>0</v>
      </c>
      <c r="AF42" s="274" t="b">
        <f t="shared" si="8"/>
        <v>0</v>
      </c>
      <c r="AG42" s="274" t="b">
        <f>IF(OR('Ответы учащихся'!AA42="N",'Ответы учащихся'!AL42="N"),1)</f>
        <v>0</v>
      </c>
      <c r="AH42" s="289">
        <f>IF(AND(OR($C42&lt;&gt;"",$D42&lt;&gt;""),$A42=1,$AJ$6="ДА"),IF(A42=1,IF('Ответы учащихся'!AK42="N",'Ответы учащихся'!AK42,AF42+AG42),""),"")</f>
        <v>0</v>
      </c>
      <c r="AI42" s="461">
        <f t="shared" si="9"/>
        <v>14</v>
      </c>
      <c r="AJ42" s="128">
        <f t="shared" si="10"/>
        <v>0.56000000000000005</v>
      </c>
      <c r="AK42" s="133">
        <f t="shared" si="11"/>
        <v>6</v>
      </c>
      <c r="AL42" s="269">
        <f t="shared" si="12"/>
        <v>54.54545454545454</v>
      </c>
      <c r="AM42" s="133">
        <f t="shared" si="13"/>
        <v>8</v>
      </c>
      <c r="AN42" s="269">
        <f t="shared" si="14"/>
        <v>57.142857142857139</v>
      </c>
      <c r="AO42" s="435" t="str">
        <f t="shared" si="15"/>
        <v>БАЗОВЫЙ</v>
      </c>
      <c r="AP42" s="427">
        <f t="shared" si="16"/>
        <v>17.068965517241381</v>
      </c>
      <c r="AQ42" s="182">
        <f t="shared" si="17"/>
        <v>0.6827586206896552</v>
      </c>
      <c r="AR42" s="176">
        <v>6</v>
      </c>
      <c r="AS42" s="181">
        <f t="shared" si="18"/>
        <v>69.905956112852664</v>
      </c>
      <c r="AT42" s="183">
        <f>IF(A42=1,IF(OR(AND(E42=1,'Ответы учащихся'!AB42=0.15),AND(E42=2,'Ответы учащихся'!AB42=-2)),1,IF('Ответы учащихся'!AB42="N",'Ответы учащихся'!AB42,0)),"")</f>
        <v>0</v>
      </c>
      <c r="AU42" s="176">
        <f>IF(A42=1,IF(OR(AND(E42=1,'Ответы учащихся'!AC42="м/с"),AND(E42=2,'Ответы учащихся'!AC42="mV0")),1,IF('Ответы учащихся'!AB42="N",'Ответы учащихся'!AB42,0)),"")</f>
        <v>0</v>
      </c>
      <c r="AV42" s="176">
        <f>IF(A42=1,IF(OR(AND(E42=1,'Ответы учащихся'!AD42=-6),AND(E42=2,'Ответы учащихся'!AD42=-10)),1,IF('Ответы учащихся'!AE42="N",'Ответы учащихся'!AE42,0)),"")</f>
        <v>0</v>
      </c>
      <c r="AW42" s="176">
        <f>IF(A42=1,IF(OR(AND(E42=1,'Ответы учащихся'!AE42="Нм"),AND(E42=2,'Ответы учащихся'!AE42="Нм")),1,IF('Ответы учащихся'!AE42="N",'Ответы учащихся'!AE42,0)),"")</f>
        <v>0</v>
      </c>
      <c r="AX42" s="176">
        <f>IF(A42=1,IF(OR(AND(E42=1,'Ответы учащихся'!AF42=250),AND(E42=2,'Ответы учащихся'!AF42=500)),1,IF('Ответы учащихся'!AF42="N",'Ответы учащихся'!AF42,0)),"")</f>
        <v>0</v>
      </c>
      <c r="AY42" s="176">
        <f>IF(A42=1,IF(OR(AND(E42=1,'Ответы учащихся'!AG42="м"),AND(E42=2,'Ответы учащихся'!AG42="Па")),1,IF('Ответы учащихся'!AF42="N",'Ответы учащихся'!AF42,0)),"")</f>
        <v>0</v>
      </c>
      <c r="AZ42" s="177">
        <f>IF(E42=1,(IF('Ответы учащихся'!N42=3,1,IF('Ответы учащихся'!N42="N",'Ответы учащихся'!N42,0))),"")</f>
        <v>0</v>
      </c>
      <c r="BA42" s="178" t="str">
        <f>IF(E42=2,IF('Ответы учащихся'!N42=1,1,(IF('Ответы учащихся'!N42="N",'Ответы учащихся'!N42,0))),"")</f>
        <v/>
      </c>
      <c r="BB42" s="179">
        <f>IF(E42=1,IF('Ответы учащихся'!O42=3,1,IF('Ответы учащихся'!O42="N",'Ответы учащихся'!O42,0)),"")</f>
        <v>0</v>
      </c>
      <c r="BC42" s="178" t="str">
        <f>IF(E42=2,IF('Ответы учащихся'!O42=2,1,IF('Ответы учащихся'!O42="N",'Ответы учащихся'!O42,0)),"")</f>
        <v/>
      </c>
      <c r="BD42" s="179">
        <f>IF(E42=1,IF('Ответы учащихся'!P42=1,1,IF('Ответы учащихся'!P42="N",'Ответы учащихся'!P42,0)),"")</f>
        <v>0</v>
      </c>
      <c r="BE42" s="178" t="str">
        <f>IF(E42=2,IF('Ответы учащихся'!P42=1,1,IF('Ответы учащихся'!P42="N",'Ответы учащихся'!P42,0)),"")</f>
        <v/>
      </c>
      <c r="BF42" s="176"/>
      <c r="BG42" s="176"/>
      <c r="BH42" s="176"/>
      <c r="BI42" s="176"/>
      <c r="BJ42" s="6"/>
      <c r="BK42" s="6"/>
      <c r="BL42" s="6"/>
      <c r="BM42" s="6"/>
      <c r="BN42" s="6"/>
      <c r="BO42" s="6"/>
    </row>
    <row r="43" spans="1:67" ht="12.75" customHeight="1">
      <c r="A43" s="12">
        <f>IF('СПИСОК КЛАССА'!J43&gt;0,1,0)</f>
        <v>1</v>
      </c>
      <c r="B43" s="313">
        <v>24</v>
      </c>
      <c r="C43" s="314">
        <f>IF(NOT(ISBLANK('СПИСОК КЛАССА'!C43)),'СПИСОК КЛАССА'!C43,"")</f>
        <v>24</v>
      </c>
      <c r="D43" s="314" t="str">
        <f>IF(NOT(ISBLANK('СПИСОК КЛАССА'!D43)),IF($A43=1,'СПИСОК КЛАССА'!D43, "УЧЕНИК НЕ ВЫПОЛНЯЛ РАБОТУ"),"")</f>
        <v>ПЫТЧЕНКО АЛЕКСАНДР</v>
      </c>
      <c r="E43" s="287">
        <f>IF($C43&lt;&gt;"",'СПИСОК КЛАССА'!J43,"")</f>
        <v>1</v>
      </c>
      <c r="F43" s="441">
        <f>IF(AND(OR($C43&lt;&gt;"",$D43&lt;&gt;""),$A43=1,$AJ$6="ДА"),(IF(A43=1,IF(OR(AND(E43=1,'Ответы учащихся'!E43=1),AND(E43=2,'Ответы учащихся'!E43=3)),1,IF('Ответы учащихся'!E43="N",'Ответы учащихся'!E43,0)),"")),"")</f>
        <v>1</v>
      </c>
      <c r="G43" s="442">
        <f>IF(AND(OR($C43&lt;&gt;"",$D43&lt;&gt;""),$A43=1,$AJ$6="ДА"),(IF(A43=1,IF(OR(AND(E43=1,'Ответы учащихся'!F43=2),AND(E43=2,'Ответы учащихся'!F43=3)),1,IF('Ответы учащихся'!F43="N",'Ответы учащихся'!F43,0)),"")),"")</f>
        <v>1</v>
      </c>
      <c r="H43" s="304">
        <f>IF(AND(OR($C43&lt;&gt;"",$D43&lt;&gt;""),$A43=1,$AJ$6="ДА"),IF(A43=1,IF(OR(AND(E43=1,'Ответы учащихся'!G43="GIRL"),AND(E43=2,'Ответы учащихся'!G43="YEARS")),1,IF('Ответы учащихся'!G43="N",'Ответы учащихся'!G43,0)),""),"")</f>
        <v>1</v>
      </c>
      <c r="I43" s="98">
        <f>IF(AND(OR($C43&lt;&gt;"",$D43&lt;&gt;""),$A43=1,$AJ$6="ДА"),IF(A43=1,IF(OR(AND(E43=1,'Ответы учащихся'!H43="SHOUTED"),AND(E43=2,'Ответы учащихся'!H43="HER")),1,IF('Ответы учащихся'!H43="N",'Ответы учащихся'!H43,0)),""),"")</f>
        <v>1</v>
      </c>
      <c r="J43" s="98">
        <f>IF(AND(OR($C43&lt;&gt;"",$D43&lt;&gt;""),$A43=1,$AJ$6="ДА"),IF(A43=1,IF(OR(AND(E43=1,'Ответы учащихся'!I43="ZOO"),AND(E43=2,'Ответы учащихся'!I43="HUSBAND")),1,IF('Ответы учащихся'!I43="N",'Ответы учащихся'!I43,0)),""),"")</f>
        <v>1</v>
      </c>
      <c r="K43" s="98">
        <f>IF(AND(OR($C43&lt;&gt;"",$D43&lt;&gt;""),$A43=1,$AJ$6="ДА"),IF(A43=1,IF(OR(AND(E43=1,'Ответы учащихся'!J43="AT"),AND(E43=2,'Ответы учащихся'!J43="LIVE")),1,IF('Ответы учащихся'!J43="N",'Ответы учащихся'!J43,0)),""),"")</f>
        <v>1</v>
      </c>
      <c r="L43" s="98">
        <f>IF(AND(OR($C43&lt;&gt;"",$D43&lt;&gt;""),$A43=1,$AJ$6="ДА"),IF(A43=1,IF(OR(AND(E43=1,'Ответы учащихся'!K43="SAID"),AND(E43=2,'Ответы учащихся'!K43="MUCH")),1,IF('Ответы учащихся'!K43="N",'Ответы учащихся'!K43,0)),""),"")</f>
        <v>1</v>
      </c>
      <c r="M43" s="98">
        <f>IF(AND(OR($C43&lt;&gt;"",$D43&lt;&gt;""),$A43=1,$AJ$6="ДА"),IF(A43=1,IF(OR(AND(E43=1,'Ответы учащихся'!L43="MORNING"),AND(E43=2,'Ответы учащихся'!L43="SHEEP")),1,IF('Ответы учащихся'!L43="N",'Ответы учащихся'!L43,0)),""),"")</f>
        <v>1</v>
      </c>
      <c r="N43" s="98">
        <f>IF(AND(OR($C43&lt;&gt;"",$D43&lt;&gt;""),$A43=1,$AJ$6="ДА"),IF(A43=1,IF(OR(AND(E43=1,'Ответы учащихся'!M43="MUCH"),AND(E43=2,'Ответы учащихся'!M43="SELL")),1,IF('Ответы учащихся'!M43="N",'Ответы учащихся'!M43,0)),""),"")</f>
        <v>0</v>
      </c>
      <c r="O43" s="131">
        <f>IF(AND(OR($C43&lt;&gt;"",$D43&lt;&gt;""),$A43=1,$AJ$6="ДА"),IF(A43=1,IF(OR(AND(E43=1,'Ответы учащихся'!N43="LIKE"),AND(E43=2,'Ответы учащихся'!N43="IN")),1,IF('Ответы учащихся'!N43="N",'Ответы учащихся'!N43,0)),""),"")</f>
        <v>0</v>
      </c>
      <c r="P43" s="98">
        <f>IF(AND(OR($C43&lt;&gt;"",$D43&lt;&gt;""),$A43=1,$AJ$6="ДА"),IF(A43=1,IF(OR(AND(E43=1,'Ответы учащихся'!O43="ANIMALS"),AND(E43=2,'Ответы учащихся'!O43="CLOTHES")),1,IF('Ответы учащихся'!O43="N",'Ответы учащихся'!O43,0)),""),"")</f>
        <v>1</v>
      </c>
      <c r="Q43" s="98">
        <f>IF(AND(OR($C43&lt;&gt;"",$D43&lt;&gt;""),$A43=1,$AJ$6="ДА"),IF(A43=1,IF(OR(AND(E43=1,'Ответы учащихся'!P43="WE"),AND(E43=2,'Ответы учащихся'!P43="GOES")),1,IF('Ответы учащихся'!P43="N",'Ответы учащихся'!P43,0)),""),"")</f>
        <v>1</v>
      </c>
      <c r="R43" s="98">
        <f>IF(AND(OR($C43&lt;&gt;"",$D43&lt;&gt;""),$A43=1,$AJ$6="ДА"),IF(A43=1,IF(OR(AND(E43=1,'Ответы учащихся'!Q43="ASKED"),AND(E43=2,'Ответы учащихся'!Q43="MADE")),1,IF('Ответы учащихся'!Q43="N",'Ответы учащихся'!Q43,0)),""),"")</f>
        <v>1</v>
      </c>
      <c r="S43" s="98">
        <f>IF(AND(OR($C43&lt;&gt;"",$D43&lt;&gt;""),$A43=1,$AJ$6="ДА"),IF(A43=1,IF(OR(AND(E43=1,'Ответы учащихся'!R43="LOST"),AND(E43=2,'Ответы учащихся'!R43="GOT")),1,IF('Ответы учащихся'!R43="N",'Ответы учащихся'!R43,0)),""),"")</f>
        <v>1</v>
      </c>
      <c r="T43" s="98">
        <f>IF(AND(OR($C43&lt;&gt;"",$D43&lt;&gt;""),$A43=1,$AJ$6="ДА"),IF(A43=1,IF(OR(AND(E43=1,'Ответы учащихся'!S43="GOT"),AND(E43=2,'Ответы учащихся'!S43="CAME")),1,IF('Ответы учащихся'!S43="N",'Ответы учащихся'!S43,0)),""),"")</f>
        <v>1</v>
      </c>
      <c r="U43" s="98">
        <f>IF(AND(OR($C43&lt;&gt;"",$D43&lt;&gt;""),$A43=1,$AJ$6="ДА"),IF(A43=1,IF(OR(AND(E43=1,'Ответы учащихся'!T43="SAW"),AND(E43=2,'Ответы учащихся'!T43="OPENED")),1,IF('Ответы учащихся'!T43="N",'Ответы учащихся'!T43,0)),""),"")</f>
        <v>1</v>
      </c>
      <c r="V43" s="98">
        <f>IF(AND(OR($C43&lt;&gt;"",$D43&lt;&gt;""),$A43=1,$AJ$6="ДА"),IF(A43=1,IF(OR(AND(E43=1,'Ответы учащихся'!U43="WAS"),AND(E43=2,'Ответы учащихся'!U43="TRIED")),1,IF('Ответы учащихся'!U43="N",'Ответы учащихся'!U43,0)),""),"")</f>
        <v>1</v>
      </c>
      <c r="W43" s="98">
        <f>IF(AND(OR($C43&lt;&gt;"",$D43&lt;&gt;""),$A43=1,$AJ$6="ДА"),IF(A43=1,IF(OR(AND(E43=1,'Ответы учащихся'!V43="KNEW"),AND(E43=2,'Ответы учащихся'!V43="SAW")),1,IF('Ответы учащихся'!V43="N",'Ответы учащихся'!V43,0)),""),"")</f>
        <v>1</v>
      </c>
      <c r="X43" s="98" t="str">
        <f>IF(AND(OR($C43&lt;&gt;"",$D43&lt;&gt;""),$A43=1,$AJ$6="ДА"),IF(A43=1,IF(OR(AND(E43=1,'Ответы учащихся'!W43="BROKE"),AND(E43=2,'Ответы учащихся'!W43="WENT")),1,IF('Ответы учащихся'!W43="N",'Ответы учащихся'!W43,0)),""),"")</f>
        <v>N</v>
      </c>
      <c r="Y43" s="98">
        <f>IF(AND(OR($C43&lt;&gt;"",$D43&lt;&gt;""),$A43=1,$AJ$6="ДА"),IF(A43=1,IF(OR(AND(E43=1,'Ответы учащихся'!X43="CAME"),AND(E43=2,'Ответы учащихся'!X43="BEGAN")),1,IF('Ответы учащихся'!X43="N",'Ответы учащихся'!X43,0)),""),"")</f>
        <v>1</v>
      </c>
      <c r="Z43" s="98">
        <f>IF(AND(OR($C43&lt;&gt;"",$D43&lt;&gt;""),$A43=1,$AJ$6="ДА"),IF(A43=1,IF(OR(AND(E43=1,'Ответы учащихся'!Y43="RODE"),AND(E43=2,'Ответы учащихся'!Y43="PUT")),1,IF('Ответы учащихся'!Y43="N",'Ответы учащихся'!Y43,0)),""),"")</f>
        <v>0</v>
      </c>
      <c r="AA43" s="305">
        <f>IF(AND(OR($C43&lt;&gt;"",$D43&lt;&gt;""),$A43=1,$AJ$6="ДА"),IF(A43=1,IF(OR(AND(E43=1,'Ответы учащихся'!Z43="TOOK"),AND(E43=2,'Ответы учащихся'!Z43="LEFT")),1,IF('Ответы учащихся'!Z43="N",'Ответы учащихся'!Z43,0)),""),"")</f>
        <v>1</v>
      </c>
      <c r="AB43" s="477">
        <f>IF(AND(OR($C43&lt;&gt;"",$D43&lt;&gt;""),$A43=1,$AJ$6="ДА"),IF(OR('Ответы учащихся'!AA43="N",'Ответы учащихся'!AL43="N"),"N",('Ответы учащихся'!AA43+'Ответы учащихся'!AL43)),"")</f>
        <v>2</v>
      </c>
      <c r="AC43" s="310" t="b">
        <f t="shared" si="5"/>
        <v>0</v>
      </c>
      <c r="AD43" s="274">
        <f t="shared" si="6"/>
        <v>1</v>
      </c>
      <c r="AE43" s="274" t="b">
        <f t="shared" si="7"/>
        <v>0</v>
      </c>
      <c r="AF43" s="274" t="b">
        <f t="shared" si="8"/>
        <v>0</v>
      </c>
      <c r="AG43" s="274" t="b">
        <f>IF(OR('Ответы учащихся'!AA43="N",'Ответы учащихся'!AL43="N"),1)</f>
        <v>0</v>
      </c>
      <c r="AH43" s="289">
        <f>IF(AND(OR($C43&lt;&gt;"",$D43&lt;&gt;""),$A43=1,$AJ$6="ДА"),IF(A43=1,IF('Ответы учащихся'!AK43="N",'Ответы учащихся'!AK43,AF43+AG43),""),"")</f>
        <v>0</v>
      </c>
      <c r="AI43" s="461">
        <f t="shared" si="9"/>
        <v>20</v>
      </c>
      <c r="AJ43" s="128">
        <f t="shared" si="10"/>
        <v>0.8</v>
      </c>
      <c r="AK43" s="133">
        <f t="shared" si="11"/>
        <v>9</v>
      </c>
      <c r="AL43" s="269">
        <f t="shared" si="12"/>
        <v>81.818181818181827</v>
      </c>
      <c r="AM43" s="133">
        <f t="shared" si="13"/>
        <v>11</v>
      </c>
      <c r="AN43" s="269">
        <f t="shared" si="14"/>
        <v>78.571428571428569</v>
      </c>
      <c r="AO43" s="435" t="str">
        <f t="shared" si="15"/>
        <v>ПОВЫШЕННЫЙ</v>
      </c>
      <c r="AP43" s="427">
        <f t="shared" si="16"/>
        <v>17.068965517241381</v>
      </c>
      <c r="AQ43" s="182">
        <f t="shared" si="17"/>
        <v>0.6827586206896552</v>
      </c>
      <c r="AR43" s="176">
        <v>6</v>
      </c>
      <c r="AS43" s="181">
        <f t="shared" si="18"/>
        <v>69.905956112852664</v>
      </c>
      <c r="AT43" s="183">
        <f>IF(A43=1,IF(OR(AND(E43=1,'Ответы учащихся'!AB43=0.15),AND(E43=2,'Ответы учащихся'!AB43=-2)),1,IF('Ответы учащихся'!AB43="N",'Ответы учащихся'!AB43,0)),"")</f>
        <v>0</v>
      </c>
      <c r="AU43" s="176">
        <f>IF(A43=1,IF(OR(AND(E43=1,'Ответы учащихся'!AC43="м/с"),AND(E43=2,'Ответы учащихся'!AC43="mV0")),1,IF('Ответы учащихся'!AB43="N",'Ответы учащихся'!AB43,0)),"")</f>
        <v>0</v>
      </c>
      <c r="AV43" s="176">
        <f>IF(A43=1,IF(OR(AND(E43=1,'Ответы учащихся'!AD43=-6),AND(E43=2,'Ответы учащихся'!AD43=-10)),1,IF('Ответы учащихся'!AE43="N",'Ответы учащихся'!AE43,0)),"")</f>
        <v>0</v>
      </c>
      <c r="AW43" s="176">
        <f>IF(A43=1,IF(OR(AND(E43=1,'Ответы учащихся'!AE43="Нм"),AND(E43=2,'Ответы учащихся'!AE43="Нм")),1,IF('Ответы учащихся'!AE43="N",'Ответы учащихся'!AE43,0)),"")</f>
        <v>0</v>
      </c>
      <c r="AX43" s="176">
        <f>IF(A43=1,IF(OR(AND(E43=1,'Ответы учащихся'!AF43=250),AND(E43=2,'Ответы учащихся'!AF43=500)),1,IF('Ответы учащихся'!AF43="N",'Ответы учащихся'!AF43,0)),"")</f>
        <v>0</v>
      </c>
      <c r="AY43" s="176">
        <f>IF(A43=1,IF(OR(AND(E43=1,'Ответы учащихся'!AG43="м"),AND(E43=2,'Ответы учащихся'!AG43="Па")),1,IF('Ответы учащихся'!AF43="N",'Ответы учащихся'!AF43,0)),"")</f>
        <v>0</v>
      </c>
      <c r="AZ43" s="177">
        <f>IF(E43=1,(IF('Ответы учащихся'!N43=3,1,IF('Ответы учащихся'!N43="N",'Ответы учащихся'!N43,0))),"")</f>
        <v>0</v>
      </c>
      <c r="BA43" s="178" t="str">
        <f>IF(E43=2,IF('Ответы учащихся'!N43=1,1,(IF('Ответы учащихся'!N43="N",'Ответы учащихся'!N43,0))),"")</f>
        <v/>
      </c>
      <c r="BB43" s="179">
        <f>IF(E43=1,IF('Ответы учащихся'!O43=3,1,IF('Ответы учащихся'!O43="N",'Ответы учащихся'!O43,0)),"")</f>
        <v>0</v>
      </c>
      <c r="BC43" s="178" t="str">
        <f>IF(E43=2,IF('Ответы учащихся'!O43=2,1,IF('Ответы учащихся'!O43="N",'Ответы учащихся'!O43,0)),"")</f>
        <v/>
      </c>
      <c r="BD43" s="179">
        <f>IF(E43=1,IF('Ответы учащихся'!P43=1,1,IF('Ответы учащихся'!P43="N",'Ответы учащихся'!P43,0)),"")</f>
        <v>0</v>
      </c>
      <c r="BE43" s="178" t="str">
        <f>IF(E43=2,IF('Ответы учащихся'!P43=1,1,IF('Ответы учащихся'!P43="N",'Ответы учащихся'!P43,0)),"")</f>
        <v/>
      </c>
      <c r="BF43" s="176"/>
      <c r="BG43" s="176"/>
      <c r="BH43" s="176"/>
      <c r="BI43" s="176"/>
      <c r="BJ43" s="6"/>
      <c r="BK43" s="6"/>
      <c r="BL43" s="6"/>
      <c r="BM43" s="6"/>
      <c r="BN43" s="6"/>
      <c r="BO43" s="6"/>
    </row>
    <row r="44" spans="1:67" ht="12.75" customHeight="1">
      <c r="A44" s="12">
        <f>IF('СПИСОК КЛАССА'!J44&gt;0,1,0)</f>
        <v>1</v>
      </c>
      <c r="B44" s="313">
        <v>25</v>
      </c>
      <c r="C44" s="314">
        <f>IF(NOT(ISBLANK('СПИСОК КЛАССА'!C44)),'СПИСОК КЛАССА'!C44,"")</f>
        <v>25</v>
      </c>
      <c r="D44" s="314" t="str">
        <f>IF(NOT(ISBLANK('СПИСОК КЛАССА'!D44)),IF($A44=1,'СПИСОК КЛАССА'!D44, "УЧЕНИК НЕ ВЫПОЛНЯЛ РАБОТУ"),"")</f>
        <v>РЕПП ВЛАДИСЛАВ</v>
      </c>
      <c r="E44" s="287">
        <f>IF($C44&lt;&gt;"",'СПИСОК КЛАССА'!J44,"")</f>
        <v>1</v>
      </c>
      <c r="F44" s="441">
        <f>IF(AND(OR($C44&lt;&gt;"",$D44&lt;&gt;""),$A44=1,$AJ$6="ДА"),(IF(A44=1,IF(OR(AND(E44=1,'Ответы учащихся'!E44=1),AND(E44=2,'Ответы учащихся'!E44=3)),1,IF('Ответы учащихся'!E44="N",'Ответы учащихся'!E44,0)),"")),"")</f>
        <v>1</v>
      </c>
      <c r="G44" s="442">
        <f>IF(AND(OR($C44&lt;&gt;"",$D44&lt;&gt;""),$A44=1,$AJ$6="ДА"),(IF(A44=1,IF(OR(AND(E44=1,'Ответы учащихся'!F44=2),AND(E44=2,'Ответы учащихся'!F44=3)),1,IF('Ответы учащихся'!F44="N",'Ответы учащихся'!F44,0)),"")),"")</f>
        <v>1</v>
      </c>
      <c r="H44" s="304">
        <f>IF(AND(OR($C44&lt;&gt;"",$D44&lt;&gt;""),$A44=1,$AJ$6="ДА"),IF(A44=1,IF(OR(AND(E44=1,'Ответы учащихся'!G44="GIRL"),AND(E44=2,'Ответы учащихся'!G44="YEARS")),1,IF('Ответы учащихся'!G44="N",'Ответы учащихся'!G44,0)),""),"")</f>
        <v>1</v>
      </c>
      <c r="I44" s="98">
        <f>IF(AND(OR($C44&lt;&gt;"",$D44&lt;&gt;""),$A44=1,$AJ$6="ДА"),IF(A44=1,IF(OR(AND(E44=1,'Ответы учащихся'!H44="SHOUTED"),AND(E44=2,'Ответы учащихся'!H44="HER")),1,IF('Ответы учащихся'!H44="N",'Ответы учащихся'!H44,0)),""),"")</f>
        <v>1</v>
      </c>
      <c r="J44" s="98">
        <f>IF(AND(OR($C44&lt;&gt;"",$D44&lt;&gt;""),$A44=1,$AJ$6="ДА"),IF(A44=1,IF(OR(AND(E44=1,'Ответы учащихся'!I44="ZOO"),AND(E44=2,'Ответы учащихся'!I44="HUSBAND")),1,IF('Ответы учащихся'!I44="N",'Ответы учащихся'!I44,0)),""),"")</f>
        <v>1</v>
      </c>
      <c r="K44" s="98">
        <f>IF(AND(OR($C44&lt;&gt;"",$D44&lt;&gt;""),$A44=1,$AJ$6="ДА"),IF(A44=1,IF(OR(AND(E44=1,'Ответы учащихся'!J44="AT"),AND(E44=2,'Ответы учащихся'!J44="LIVE")),1,IF('Ответы учащихся'!J44="N",'Ответы учащихся'!J44,0)),""),"")</f>
        <v>1</v>
      </c>
      <c r="L44" s="98">
        <f>IF(AND(OR($C44&lt;&gt;"",$D44&lt;&gt;""),$A44=1,$AJ$6="ДА"),IF(A44=1,IF(OR(AND(E44=1,'Ответы учащихся'!K44="SAID"),AND(E44=2,'Ответы учащихся'!K44="MUCH")),1,IF('Ответы учащихся'!K44="N",'Ответы учащихся'!K44,0)),""),"")</f>
        <v>1</v>
      </c>
      <c r="M44" s="98">
        <f>IF(AND(OR($C44&lt;&gt;"",$D44&lt;&gt;""),$A44=1,$AJ$6="ДА"),IF(A44=1,IF(OR(AND(E44=1,'Ответы учащихся'!L44="MORNING"),AND(E44=2,'Ответы учащихся'!L44="SHEEP")),1,IF('Ответы учащихся'!L44="N",'Ответы учащихся'!L44,0)),""),"")</f>
        <v>0</v>
      </c>
      <c r="N44" s="98">
        <f>IF(AND(OR($C44&lt;&gt;"",$D44&lt;&gt;""),$A44=1,$AJ$6="ДА"),IF(A44=1,IF(OR(AND(E44=1,'Ответы учащихся'!M44="MUCH"),AND(E44=2,'Ответы учащихся'!M44="SELL")),1,IF('Ответы учащихся'!M44="N",'Ответы учащихся'!M44,0)),""),"")</f>
        <v>0</v>
      </c>
      <c r="O44" s="131">
        <f>IF(AND(OR($C44&lt;&gt;"",$D44&lt;&gt;""),$A44=1,$AJ$6="ДА"),IF(A44=1,IF(OR(AND(E44=1,'Ответы учащихся'!N44="LIKE"),AND(E44=2,'Ответы учащихся'!N44="IN")),1,IF('Ответы учащихся'!N44="N",'Ответы учащихся'!N44,0)),""),"")</f>
        <v>1</v>
      </c>
      <c r="P44" s="98">
        <f>IF(AND(OR($C44&lt;&gt;"",$D44&lt;&gt;""),$A44=1,$AJ$6="ДА"),IF(A44=1,IF(OR(AND(E44=1,'Ответы учащихся'!O44="ANIMALS"),AND(E44=2,'Ответы учащихся'!O44="CLOTHES")),1,IF('Ответы учащихся'!O44="N",'Ответы учащихся'!O44,0)),""),"")</f>
        <v>1</v>
      </c>
      <c r="Q44" s="98">
        <f>IF(AND(OR($C44&lt;&gt;"",$D44&lt;&gt;""),$A44=1,$AJ$6="ДА"),IF(A44=1,IF(OR(AND(E44=1,'Ответы учащихся'!P44="WE"),AND(E44=2,'Ответы учащихся'!P44="GOES")),1,IF('Ответы учащихся'!P44="N",'Ответы учащихся'!P44,0)),""),"")</f>
        <v>1</v>
      </c>
      <c r="R44" s="98">
        <f>IF(AND(OR($C44&lt;&gt;"",$D44&lt;&gt;""),$A44=1,$AJ$6="ДА"),IF(A44=1,IF(OR(AND(E44=1,'Ответы учащихся'!Q44="ASKED"),AND(E44=2,'Ответы учащихся'!Q44="MADE")),1,IF('Ответы учащихся'!Q44="N",'Ответы учащихся'!Q44,0)),""),"")</f>
        <v>1</v>
      </c>
      <c r="S44" s="98">
        <f>IF(AND(OR($C44&lt;&gt;"",$D44&lt;&gt;""),$A44=1,$AJ$6="ДА"),IF(A44=1,IF(OR(AND(E44=1,'Ответы учащихся'!R44="LOST"),AND(E44=2,'Ответы учащихся'!R44="GOT")),1,IF('Ответы учащихся'!R44="N",'Ответы учащихся'!R44,0)),""),"")</f>
        <v>1</v>
      </c>
      <c r="T44" s="98">
        <f>IF(AND(OR($C44&lt;&gt;"",$D44&lt;&gt;""),$A44=1,$AJ$6="ДА"),IF(A44=1,IF(OR(AND(E44=1,'Ответы учащихся'!S44="GOT"),AND(E44=2,'Ответы учащихся'!S44="CAME")),1,IF('Ответы учащихся'!S44="N",'Ответы учащихся'!S44,0)),""),"")</f>
        <v>1</v>
      </c>
      <c r="U44" s="98">
        <f>IF(AND(OR($C44&lt;&gt;"",$D44&lt;&gt;""),$A44=1,$AJ$6="ДА"),IF(A44=1,IF(OR(AND(E44=1,'Ответы учащихся'!T44="SAW"),AND(E44=2,'Ответы учащихся'!T44="OPENED")),1,IF('Ответы учащихся'!T44="N",'Ответы учащихся'!T44,0)),""),"")</f>
        <v>1</v>
      </c>
      <c r="V44" s="98">
        <f>IF(AND(OR($C44&lt;&gt;"",$D44&lt;&gt;""),$A44=1,$AJ$6="ДА"),IF(A44=1,IF(OR(AND(E44=1,'Ответы учащихся'!U44="WAS"),AND(E44=2,'Ответы учащихся'!U44="TRIED")),1,IF('Ответы учащихся'!U44="N",'Ответы учащихся'!U44,0)),""),"")</f>
        <v>1</v>
      </c>
      <c r="W44" s="98">
        <f>IF(AND(OR($C44&lt;&gt;"",$D44&lt;&gt;""),$A44=1,$AJ$6="ДА"),IF(A44=1,IF(OR(AND(E44=1,'Ответы учащихся'!V44="KNEW"),AND(E44=2,'Ответы учащихся'!V44="SAW")),1,IF('Ответы учащихся'!V44="N",'Ответы учащихся'!V44,0)),""),"")</f>
        <v>1</v>
      </c>
      <c r="X44" s="98">
        <f>IF(AND(OR($C44&lt;&gt;"",$D44&lt;&gt;""),$A44=1,$AJ$6="ДА"),IF(A44=1,IF(OR(AND(E44=1,'Ответы учащихся'!W44="BROKE"),AND(E44=2,'Ответы учащихся'!W44="WENT")),1,IF('Ответы учащихся'!W44="N",'Ответы учащихся'!W44,0)),""),"")</f>
        <v>0</v>
      </c>
      <c r="Y44" s="98">
        <f>IF(AND(OR($C44&lt;&gt;"",$D44&lt;&gt;""),$A44=1,$AJ$6="ДА"),IF(A44=1,IF(OR(AND(E44=1,'Ответы учащихся'!X44="CAME"),AND(E44=2,'Ответы учащихся'!X44="BEGAN")),1,IF('Ответы учащихся'!X44="N",'Ответы учащихся'!X44,0)),""),"")</f>
        <v>1</v>
      </c>
      <c r="Z44" s="98">
        <f>IF(AND(OR($C44&lt;&gt;"",$D44&lt;&gt;""),$A44=1,$AJ$6="ДА"),IF(A44=1,IF(OR(AND(E44=1,'Ответы учащихся'!Y44="RODE"),AND(E44=2,'Ответы учащихся'!Y44="PUT")),1,IF('Ответы учащихся'!Y44="N",'Ответы учащихся'!Y44,0)),""),"")</f>
        <v>1</v>
      </c>
      <c r="AA44" s="305">
        <f>IF(AND(OR($C44&lt;&gt;"",$D44&lt;&gt;""),$A44=1,$AJ$6="ДА"),IF(A44=1,IF(OR(AND(E44=1,'Ответы учащихся'!Z44="TOOK"),AND(E44=2,'Ответы учащихся'!Z44="LEFT")),1,IF('Ответы учащихся'!Z44="N",'Ответы учащихся'!Z44,0)),""),"")</f>
        <v>1</v>
      </c>
      <c r="AB44" s="477">
        <f>IF(AND(OR($C44&lt;&gt;"",$D44&lt;&gt;""),$A44=1,$AJ$6="ДА"),IF(OR('Ответы учащихся'!AA44="N",'Ответы учащихся'!AL44="N"),"N",('Ответы учащихся'!AA44+'Ответы учащихся'!AL44)),"")</f>
        <v>2</v>
      </c>
      <c r="AC44" s="310" t="b">
        <f t="shared" si="5"/>
        <v>0</v>
      </c>
      <c r="AD44" s="274">
        <f t="shared" si="6"/>
        <v>1</v>
      </c>
      <c r="AE44" s="274" t="b">
        <f t="shared" si="7"/>
        <v>0</v>
      </c>
      <c r="AF44" s="274" t="b">
        <f t="shared" si="8"/>
        <v>0</v>
      </c>
      <c r="AG44" s="274" t="b">
        <f>IF(OR('Ответы учащихся'!AA44="N",'Ответы учащихся'!AL44="N"),1)</f>
        <v>0</v>
      </c>
      <c r="AH44" s="289">
        <f>IF(AND(OR($C44&lt;&gt;"",$D44&lt;&gt;""),$A44=1,$AJ$6="ДА"),IF(A44=1,IF('Ответы учащихся'!AK44="N",'Ответы учащихся'!AK44,AF44+AG44),""),"")</f>
        <v>0</v>
      </c>
      <c r="AI44" s="461">
        <f t="shared" si="9"/>
        <v>21</v>
      </c>
      <c r="AJ44" s="128">
        <f t="shared" si="10"/>
        <v>0.84</v>
      </c>
      <c r="AK44" s="133">
        <f t="shared" si="11"/>
        <v>9</v>
      </c>
      <c r="AL44" s="269">
        <f t="shared" si="12"/>
        <v>81.818181818181827</v>
      </c>
      <c r="AM44" s="133">
        <f t="shared" si="13"/>
        <v>12</v>
      </c>
      <c r="AN44" s="269">
        <f t="shared" si="14"/>
        <v>85.714285714285708</v>
      </c>
      <c r="AO44" s="435" t="str">
        <f t="shared" si="15"/>
        <v>ПОВЫШЕННЫЙ</v>
      </c>
      <c r="AP44" s="427">
        <f t="shared" si="16"/>
        <v>17.068965517241381</v>
      </c>
      <c r="AQ44" s="182">
        <f t="shared" si="17"/>
        <v>0.6827586206896552</v>
      </c>
      <c r="AR44" s="176">
        <v>6</v>
      </c>
      <c r="AS44" s="181">
        <f t="shared" si="18"/>
        <v>69.905956112852664</v>
      </c>
      <c r="AT44" s="183">
        <f>IF(A44=1,IF(OR(AND(E44=1,'Ответы учащихся'!AB44=0.15),AND(E44=2,'Ответы учащихся'!AB44=-2)),1,IF('Ответы учащихся'!AB44="N",'Ответы учащихся'!AB44,0)),"")</f>
        <v>0</v>
      </c>
      <c r="AU44" s="176">
        <f>IF(A44=1,IF(OR(AND(E44=1,'Ответы учащихся'!AC44="м/с"),AND(E44=2,'Ответы учащихся'!AC44="mV0")),1,IF('Ответы учащихся'!AB44="N",'Ответы учащихся'!AB44,0)),"")</f>
        <v>0</v>
      </c>
      <c r="AV44" s="176">
        <f>IF(A44=1,IF(OR(AND(E44=1,'Ответы учащихся'!AD44=-6),AND(E44=2,'Ответы учащихся'!AD44=-10)),1,IF('Ответы учащихся'!AE44="N",'Ответы учащихся'!AE44,0)),"")</f>
        <v>0</v>
      </c>
      <c r="AW44" s="176">
        <f>IF(A44=1,IF(OR(AND(E44=1,'Ответы учащихся'!AE44="Нм"),AND(E44=2,'Ответы учащихся'!AE44="Нм")),1,IF('Ответы учащихся'!AE44="N",'Ответы учащихся'!AE44,0)),"")</f>
        <v>0</v>
      </c>
      <c r="AX44" s="176">
        <f>IF(A44=1,IF(OR(AND(E44=1,'Ответы учащихся'!AF44=250),AND(E44=2,'Ответы учащихся'!AF44=500)),1,IF('Ответы учащихся'!AF44="N",'Ответы учащихся'!AF44,0)),"")</f>
        <v>0</v>
      </c>
      <c r="AY44" s="176">
        <f>IF(A44=1,IF(OR(AND(E44=1,'Ответы учащихся'!AG44="м"),AND(E44=2,'Ответы учащихся'!AG44="Па")),1,IF('Ответы учащихся'!AF44="N",'Ответы учащихся'!AF44,0)),"")</f>
        <v>0</v>
      </c>
      <c r="AZ44" s="177">
        <f>IF(E44=1,(IF('Ответы учащихся'!N44=3,1,IF('Ответы учащихся'!N44="N",'Ответы учащихся'!N44,0))),"")</f>
        <v>0</v>
      </c>
      <c r="BA44" s="178" t="str">
        <f>IF(E44=2,IF('Ответы учащихся'!N44=1,1,(IF('Ответы учащихся'!N44="N",'Ответы учащихся'!N44,0))),"")</f>
        <v/>
      </c>
      <c r="BB44" s="179">
        <f>IF(E44=1,IF('Ответы учащихся'!O44=3,1,IF('Ответы учащихся'!O44="N",'Ответы учащихся'!O44,0)),"")</f>
        <v>0</v>
      </c>
      <c r="BC44" s="178" t="str">
        <f>IF(E44=2,IF('Ответы учащихся'!O44=2,1,IF('Ответы учащихся'!O44="N",'Ответы учащихся'!O44,0)),"")</f>
        <v/>
      </c>
      <c r="BD44" s="179">
        <f>IF(E44=1,IF('Ответы учащихся'!P44=1,1,IF('Ответы учащихся'!P44="N",'Ответы учащихся'!P44,0)),"")</f>
        <v>0</v>
      </c>
      <c r="BE44" s="178" t="str">
        <f>IF(E44=2,IF('Ответы учащихся'!P44=1,1,IF('Ответы учащихся'!P44="N",'Ответы учащихся'!P44,0)),"")</f>
        <v/>
      </c>
      <c r="BF44" s="176"/>
      <c r="BG44" s="176"/>
      <c r="BH44" s="176"/>
      <c r="BI44" s="176"/>
      <c r="BJ44" s="6"/>
      <c r="BK44" s="6"/>
      <c r="BL44" s="6"/>
      <c r="BM44" s="6"/>
      <c r="BN44" s="6"/>
      <c r="BO44" s="6"/>
    </row>
    <row r="45" spans="1:67" ht="12.75" customHeight="1">
      <c r="A45" s="12">
        <f>IF('СПИСОК КЛАССА'!J45&gt;0,1,0)</f>
        <v>1</v>
      </c>
      <c r="B45" s="313">
        <v>26</v>
      </c>
      <c r="C45" s="314">
        <f>IF(NOT(ISBLANK('СПИСОК КЛАССА'!C45)),'СПИСОК КЛАССА'!C45,"")</f>
        <v>26</v>
      </c>
      <c r="D45" s="314" t="str">
        <f>IF(NOT(ISBLANK('СПИСОК КЛАССА'!D45)),IF($A45=1,'СПИСОК КЛАССА'!D45, "УЧЕНИК НЕ ВЫПОЛНЯЛ РАБОТУ"),"")</f>
        <v>РЫБКО МАТВЕЙ</v>
      </c>
      <c r="E45" s="287">
        <f>IF($C45&lt;&gt;"",'СПИСОК КЛАССА'!J45,"")</f>
        <v>2</v>
      </c>
      <c r="F45" s="441">
        <f>IF(AND(OR($C45&lt;&gt;"",$D45&lt;&gt;""),$A45=1,$AJ$6="ДА"),(IF(A45=1,IF(OR(AND(E45=1,'Ответы учащихся'!E45=1),AND(E45=2,'Ответы учащихся'!E45=3)),1,IF('Ответы учащихся'!E45="N",'Ответы учащихся'!E45,0)),"")),"")</f>
        <v>1</v>
      </c>
      <c r="G45" s="442">
        <f>IF(AND(OR($C45&lt;&gt;"",$D45&lt;&gt;""),$A45=1,$AJ$6="ДА"),(IF(A45=1,IF(OR(AND(E45=1,'Ответы учащихся'!F45=2),AND(E45=2,'Ответы учащихся'!F45=3)),1,IF('Ответы учащихся'!F45="N",'Ответы учащихся'!F45,0)),"")),"")</f>
        <v>1</v>
      </c>
      <c r="H45" s="304">
        <f>IF(AND(OR($C45&lt;&gt;"",$D45&lt;&gt;""),$A45=1,$AJ$6="ДА"),IF(A45=1,IF(OR(AND(E45=1,'Ответы учащихся'!G45="GIRL"),AND(E45=2,'Ответы учащихся'!G45="YEARS")),1,IF('Ответы учащихся'!G45="N",'Ответы учащихся'!G45,0)),""),"")</f>
        <v>1</v>
      </c>
      <c r="I45" s="98">
        <f>IF(AND(OR($C45&lt;&gt;"",$D45&lt;&gt;""),$A45=1,$AJ$6="ДА"),IF(A45=1,IF(OR(AND(E45=1,'Ответы учащихся'!H45="SHOUTED"),AND(E45=2,'Ответы учащихся'!H45="HER")),1,IF('Ответы учащихся'!H45="N",'Ответы учащихся'!H45,0)),""),"")</f>
        <v>1</v>
      </c>
      <c r="J45" s="98">
        <f>IF(AND(OR($C45&lt;&gt;"",$D45&lt;&gt;""),$A45=1,$AJ$6="ДА"),IF(A45=1,IF(OR(AND(E45=1,'Ответы учащихся'!I45="ZOO"),AND(E45=2,'Ответы учащихся'!I45="HUSBAND")),1,IF('Ответы учащихся'!I45="N",'Ответы учащихся'!I45,0)),""),"")</f>
        <v>1</v>
      </c>
      <c r="K45" s="98">
        <f>IF(AND(OR($C45&lt;&gt;"",$D45&lt;&gt;""),$A45=1,$AJ$6="ДА"),IF(A45=1,IF(OR(AND(E45=1,'Ответы учащихся'!J45="AT"),AND(E45=2,'Ответы учащихся'!J45="LIVE")),1,IF('Ответы учащихся'!J45="N",'Ответы учащихся'!J45,0)),""),"")</f>
        <v>1</v>
      </c>
      <c r="L45" s="98">
        <f>IF(AND(OR($C45&lt;&gt;"",$D45&lt;&gt;""),$A45=1,$AJ$6="ДА"),IF(A45=1,IF(OR(AND(E45=1,'Ответы учащихся'!K45="SAID"),AND(E45=2,'Ответы учащихся'!K45="MUCH")),1,IF('Ответы учащихся'!K45="N",'Ответы учащихся'!K45,0)),""),"")</f>
        <v>1</v>
      </c>
      <c r="M45" s="98">
        <f>IF(AND(OR($C45&lt;&gt;"",$D45&lt;&gt;""),$A45=1,$AJ$6="ДА"),IF(A45=1,IF(OR(AND(E45=1,'Ответы учащихся'!L45="MORNING"),AND(E45=2,'Ответы учащихся'!L45="SHEEP")),1,IF('Ответы учащихся'!L45="N",'Ответы учащихся'!L45,0)),""),"")</f>
        <v>1</v>
      </c>
      <c r="N45" s="98">
        <f>IF(AND(OR($C45&lt;&gt;"",$D45&lt;&gt;""),$A45=1,$AJ$6="ДА"),IF(A45=1,IF(OR(AND(E45=1,'Ответы учащихся'!M45="MUCH"),AND(E45=2,'Ответы учащихся'!M45="SELL")),1,IF('Ответы учащихся'!M45="N",'Ответы учащихся'!M45,0)),""),"")</f>
        <v>1</v>
      </c>
      <c r="O45" s="131">
        <f>IF(AND(OR($C45&lt;&gt;"",$D45&lt;&gt;""),$A45=1,$AJ$6="ДА"),IF(A45=1,IF(OR(AND(E45=1,'Ответы учащихся'!N45="LIKE"),AND(E45=2,'Ответы учащихся'!N45="IN")),1,IF('Ответы учащихся'!N45="N",'Ответы учащихся'!N45,0)),""),"")</f>
        <v>1</v>
      </c>
      <c r="P45" s="98">
        <f>IF(AND(OR($C45&lt;&gt;"",$D45&lt;&gt;""),$A45=1,$AJ$6="ДА"),IF(A45=1,IF(OR(AND(E45=1,'Ответы учащихся'!O45="ANIMALS"),AND(E45=2,'Ответы учащихся'!O45="CLOTHES")),1,IF('Ответы учащихся'!O45="N",'Ответы учащихся'!O45,0)),""),"")</f>
        <v>1</v>
      </c>
      <c r="Q45" s="98">
        <f>IF(AND(OR($C45&lt;&gt;"",$D45&lt;&gt;""),$A45=1,$AJ$6="ДА"),IF(A45=1,IF(OR(AND(E45=1,'Ответы учащихся'!P45="WE"),AND(E45=2,'Ответы учащихся'!P45="GOES")),1,IF('Ответы учащихся'!P45="N",'Ответы учащихся'!P45,0)),""),"")</f>
        <v>1</v>
      </c>
      <c r="R45" s="98">
        <f>IF(AND(OR($C45&lt;&gt;"",$D45&lt;&gt;""),$A45=1,$AJ$6="ДА"),IF(A45=1,IF(OR(AND(E45=1,'Ответы учащихся'!Q45="ASKED"),AND(E45=2,'Ответы учащихся'!Q45="MADE")),1,IF('Ответы учащихся'!Q45="N",'Ответы учащихся'!Q45,0)),""),"")</f>
        <v>1</v>
      </c>
      <c r="S45" s="98">
        <f>IF(AND(OR($C45&lt;&gt;"",$D45&lt;&gt;""),$A45=1,$AJ$6="ДА"),IF(A45=1,IF(OR(AND(E45=1,'Ответы учащихся'!R45="LOST"),AND(E45=2,'Ответы учащихся'!R45="GOT")),1,IF('Ответы учащихся'!R45="N",'Ответы учащихся'!R45,0)),""),"")</f>
        <v>1</v>
      </c>
      <c r="T45" s="98">
        <f>IF(AND(OR($C45&lt;&gt;"",$D45&lt;&gt;""),$A45=1,$AJ$6="ДА"),IF(A45=1,IF(OR(AND(E45=1,'Ответы учащихся'!S45="GOT"),AND(E45=2,'Ответы учащихся'!S45="CAME")),1,IF('Ответы учащихся'!S45="N",'Ответы учащихся'!S45,0)),""),"")</f>
        <v>1</v>
      </c>
      <c r="U45" s="98">
        <f>IF(AND(OR($C45&lt;&gt;"",$D45&lt;&gt;""),$A45=1,$AJ$6="ДА"),IF(A45=1,IF(OR(AND(E45=1,'Ответы учащихся'!T45="SAW"),AND(E45=2,'Ответы учащихся'!T45="OPENED")),1,IF('Ответы учащихся'!T45="N",'Ответы учащихся'!T45,0)),""),"")</f>
        <v>1</v>
      </c>
      <c r="V45" s="98">
        <f>IF(AND(OR($C45&lt;&gt;"",$D45&lt;&gt;""),$A45=1,$AJ$6="ДА"),IF(A45=1,IF(OR(AND(E45=1,'Ответы учащихся'!U45="WAS"),AND(E45=2,'Ответы учащихся'!U45="TRIED")),1,IF('Ответы учащихся'!U45="N",'Ответы учащихся'!U45,0)),""),"")</f>
        <v>1</v>
      </c>
      <c r="W45" s="98">
        <f>IF(AND(OR($C45&lt;&gt;"",$D45&lt;&gt;""),$A45=1,$AJ$6="ДА"),IF(A45=1,IF(OR(AND(E45=1,'Ответы учащихся'!V45="KNEW"),AND(E45=2,'Ответы учащихся'!V45="SAW")),1,IF('Ответы учащихся'!V45="N",'Ответы учащихся'!V45,0)),""),"")</f>
        <v>1</v>
      </c>
      <c r="X45" s="98">
        <f>IF(AND(OR($C45&lt;&gt;"",$D45&lt;&gt;""),$A45=1,$AJ$6="ДА"),IF(A45=1,IF(OR(AND(E45=1,'Ответы учащихся'!W45="BROKE"),AND(E45=2,'Ответы учащихся'!W45="WENT")),1,IF('Ответы учащихся'!W45="N",'Ответы учащихся'!W45,0)),""),"")</f>
        <v>1</v>
      </c>
      <c r="Y45" s="98">
        <f>IF(AND(OR($C45&lt;&gt;"",$D45&lt;&gt;""),$A45=1,$AJ$6="ДА"),IF(A45=1,IF(OR(AND(E45=1,'Ответы учащихся'!X45="CAME"),AND(E45=2,'Ответы учащихся'!X45="BEGAN")),1,IF('Ответы учащихся'!X45="N",'Ответы учащихся'!X45,0)),""),"")</f>
        <v>1</v>
      </c>
      <c r="Z45" s="98">
        <f>IF(AND(OR($C45&lt;&gt;"",$D45&lt;&gt;""),$A45=1,$AJ$6="ДА"),IF(A45=1,IF(OR(AND(E45=1,'Ответы учащихся'!Y45="RODE"),AND(E45=2,'Ответы учащихся'!Y45="PUT")),1,IF('Ответы учащихся'!Y45="N",'Ответы учащихся'!Y45,0)),""),"")</f>
        <v>1</v>
      </c>
      <c r="AA45" s="305">
        <f>IF(AND(OR($C45&lt;&gt;"",$D45&lt;&gt;""),$A45=1,$AJ$6="ДА"),IF(A45=1,IF(OR(AND(E45=1,'Ответы учащихся'!Z45="TOOK"),AND(E45=2,'Ответы учащихся'!Z45="LEFT")),1,IF('Ответы учащихся'!Z45="N",'Ответы учащихся'!Z45,0)),""),"")</f>
        <v>1</v>
      </c>
      <c r="AB45" s="477">
        <f>IF(AND(OR($C45&lt;&gt;"",$D45&lt;&gt;""),$A45=1,$AJ$6="ДА"),IF(OR('Ответы учащихся'!AA45="N",'Ответы учащихся'!AL45="N"),"N",('Ответы учащихся'!AA45+'Ответы учащихся'!AL45)),"")</f>
        <v>3</v>
      </c>
      <c r="AC45" s="310" t="b">
        <f t="shared" si="5"/>
        <v>0</v>
      </c>
      <c r="AD45" s="274" t="b">
        <f t="shared" si="6"/>
        <v>0</v>
      </c>
      <c r="AE45" s="274">
        <f t="shared" si="7"/>
        <v>1</v>
      </c>
      <c r="AF45" s="274" t="b">
        <f t="shared" si="8"/>
        <v>0</v>
      </c>
      <c r="AG45" s="274" t="b">
        <f>IF(OR('Ответы учащихся'!AA45="N",'Ответы учащихся'!AL45="N"),1)</f>
        <v>0</v>
      </c>
      <c r="AH45" s="289">
        <f>IF(AND(OR($C45&lt;&gt;"",$D45&lt;&gt;""),$A45=1,$AJ$6="ДА"),IF(A45=1,IF('Ответы учащихся'!AK45="N",'Ответы учащихся'!AK45,AF45+AG45),""),"")</f>
        <v>0</v>
      </c>
      <c r="AI45" s="461">
        <f t="shared" si="9"/>
        <v>25</v>
      </c>
      <c r="AJ45" s="128">
        <f t="shared" si="10"/>
        <v>1</v>
      </c>
      <c r="AK45" s="133">
        <f t="shared" si="11"/>
        <v>11</v>
      </c>
      <c r="AL45" s="269">
        <f t="shared" si="12"/>
        <v>100</v>
      </c>
      <c r="AM45" s="133">
        <f t="shared" si="13"/>
        <v>14</v>
      </c>
      <c r="AN45" s="269">
        <f t="shared" si="14"/>
        <v>100</v>
      </c>
      <c r="AO45" s="435" t="str">
        <f t="shared" si="15"/>
        <v>ВЫСОКИЙ</v>
      </c>
      <c r="AP45" s="427">
        <f t="shared" si="16"/>
        <v>17.068965517241381</v>
      </c>
      <c r="AQ45" s="182">
        <f t="shared" si="17"/>
        <v>0.6827586206896552</v>
      </c>
      <c r="AR45" s="176">
        <v>6</v>
      </c>
      <c r="AS45" s="181">
        <f t="shared" si="18"/>
        <v>69.905956112852664</v>
      </c>
      <c r="AT45" s="183">
        <f>IF(A45=1,IF(OR(AND(E45=1,'Ответы учащихся'!AB45=0.15),AND(E45=2,'Ответы учащихся'!AB45=-2)),1,IF('Ответы учащихся'!AB45="N",'Ответы учащихся'!AB45,0)),"")</f>
        <v>0</v>
      </c>
      <c r="AU45" s="176">
        <f>IF(A45=1,IF(OR(AND(E45=1,'Ответы учащихся'!AC45="м/с"),AND(E45=2,'Ответы учащихся'!AC45="mV0")),1,IF('Ответы учащихся'!AB45="N",'Ответы учащихся'!AB45,0)),"")</f>
        <v>0</v>
      </c>
      <c r="AV45" s="176">
        <f>IF(A45=1,IF(OR(AND(E45=1,'Ответы учащихся'!AD45=-6),AND(E45=2,'Ответы учащихся'!AD45=-10)),1,IF('Ответы учащихся'!AE45="N",'Ответы учащихся'!AE45,0)),"")</f>
        <v>0</v>
      </c>
      <c r="AW45" s="176">
        <f>IF(A45=1,IF(OR(AND(E45=1,'Ответы учащихся'!AE45="Нм"),AND(E45=2,'Ответы учащихся'!AE45="Нм")),1,IF('Ответы учащихся'!AE45="N",'Ответы учащихся'!AE45,0)),"")</f>
        <v>0</v>
      </c>
      <c r="AX45" s="176">
        <f>IF(A45=1,IF(OR(AND(E45=1,'Ответы учащихся'!AF45=250),AND(E45=2,'Ответы учащихся'!AF45=500)),1,IF('Ответы учащихся'!AF45="N",'Ответы учащихся'!AF45,0)),"")</f>
        <v>0</v>
      </c>
      <c r="AY45" s="176">
        <f>IF(A45=1,IF(OR(AND(E45=1,'Ответы учащихся'!AG45="м"),AND(E45=2,'Ответы учащихся'!AG45="Па")),1,IF('Ответы учащихся'!AF45="N",'Ответы учащихся'!AF45,0)),"")</f>
        <v>0</v>
      </c>
      <c r="AZ45" s="177" t="str">
        <f>IF(E45=1,(IF('Ответы учащихся'!N45=3,1,IF('Ответы учащихся'!N45="N",'Ответы учащихся'!N45,0))),"")</f>
        <v/>
      </c>
      <c r="BA45" s="178">
        <f>IF(E45=2,IF('Ответы учащихся'!N45=1,1,(IF('Ответы учащихся'!N45="N",'Ответы учащихся'!N45,0))),"")</f>
        <v>0</v>
      </c>
      <c r="BB45" s="179" t="str">
        <f>IF(E45=1,IF('Ответы учащихся'!O45=3,1,IF('Ответы учащихся'!O45="N",'Ответы учащихся'!O45,0)),"")</f>
        <v/>
      </c>
      <c r="BC45" s="178">
        <f>IF(E45=2,IF('Ответы учащихся'!O45=2,1,IF('Ответы учащихся'!O45="N",'Ответы учащихся'!O45,0)),"")</f>
        <v>0</v>
      </c>
      <c r="BD45" s="179" t="str">
        <f>IF(E45=1,IF('Ответы учащихся'!P45=1,1,IF('Ответы учащихся'!P45="N",'Ответы учащихся'!P45,0)),"")</f>
        <v/>
      </c>
      <c r="BE45" s="178">
        <f>IF(E45=2,IF('Ответы учащихся'!P45=1,1,IF('Ответы учащихся'!P45="N",'Ответы учащихся'!P45,0)),"")</f>
        <v>0</v>
      </c>
      <c r="BF45" s="176"/>
      <c r="BG45" s="176"/>
      <c r="BH45" s="176"/>
      <c r="BI45" s="176"/>
      <c r="BJ45" s="6"/>
      <c r="BK45" s="6"/>
      <c r="BL45" s="6"/>
      <c r="BM45" s="6"/>
      <c r="BN45" s="6"/>
      <c r="BO45" s="6"/>
    </row>
    <row r="46" spans="1:67" ht="12.75" customHeight="1">
      <c r="A46" s="12">
        <f>IF('СПИСОК КЛАССА'!J46&gt;0,1,0)</f>
        <v>1</v>
      </c>
      <c r="B46" s="313">
        <v>27</v>
      </c>
      <c r="C46" s="314">
        <f>IF(NOT(ISBLANK('СПИСОК КЛАССА'!C46)),'СПИСОК КЛАССА'!C46,"")</f>
        <v>27</v>
      </c>
      <c r="D46" s="314" t="str">
        <f>IF(NOT(ISBLANK('СПИСОК КЛАССА'!D46)),IF($A46=1,'СПИСОК КЛАССА'!D46, "УЧЕНИК НЕ ВЫПОЛНЯЛ РАБОТУ"),"")</f>
        <v>САЯПИНА АЛИСА</v>
      </c>
      <c r="E46" s="287">
        <f>IF($C46&lt;&gt;"",'СПИСОК КЛАССА'!J46,"")</f>
        <v>1</v>
      </c>
      <c r="F46" s="441">
        <f>IF(AND(OR($C46&lt;&gt;"",$D46&lt;&gt;""),$A46=1,$AJ$6="ДА"),(IF(A46=1,IF(OR(AND(E46=1,'Ответы учащихся'!E46=1),AND(E46=2,'Ответы учащихся'!E46=3)),1,IF('Ответы учащихся'!E46="N",'Ответы учащихся'!E46,0)),"")),"")</f>
        <v>1</v>
      </c>
      <c r="G46" s="442">
        <f>IF(AND(OR($C46&lt;&gt;"",$D46&lt;&gt;""),$A46=1,$AJ$6="ДА"),(IF(A46=1,IF(OR(AND(E46=1,'Ответы учащихся'!F46=2),AND(E46=2,'Ответы учащихся'!F46=3)),1,IF('Ответы учащихся'!F46="N",'Ответы учащихся'!F46,0)),"")),"")</f>
        <v>1</v>
      </c>
      <c r="H46" s="304">
        <f>IF(AND(OR($C46&lt;&gt;"",$D46&lt;&gt;""),$A46=1,$AJ$6="ДА"),IF(A46=1,IF(OR(AND(E46=1,'Ответы учащихся'!G46="GIRL"),AND(E46=2,'Ответы учащихся'!G46="YEARS")),1,IF('Ответы учащихся'!G46="N",'Ответы учащихся'!G46,0)),""),"")</f>
        <v>1</v>
      </c>
      <c r="I46" s="98">
        <f>IF(AND(OR($C46&lt;&gt;"",$D46&lt;&gt;""),$A46=1,$AJ$6="ДА"),IF(A46=1,IF(OR(AND(E46=1,'Ответы учащихся'!H46="SHOUTED"),AND(E46=2,'Ответы учащихся'!H46="HER")),1,IF('Ответы учащихся'!H46="N",'Ответы учащихся'!H46,0)),""),"")</f>
        <v>1</v>
      </c>
      <c r="J46" s="98">
        <f>IF(AND(OR($C46&lt;&gt;"",$D46&lt;&gt;""),$A46=1,$AJ$6="ДА"),IF(A46=1,IF(OR(AND(E46=1,'Ответы учащихся'!I46="ZOO"),AND(E46=2,'Ответы учащихся'!I46="HUSBAND")),1,IF('Ответы учащихся'!I46="N",'Ответы учащихся'!I46,0)),""),"")</f>
        <v>0</v>
      </c>
      <c r="K46" s="98">
        <f>IF(AND(OR($C46&lt;&gt;"",$D46&lt;&gt;""),$A46=1,$AJ$6="ДА"),IF(A46=1,IF(OR(AND(E46=1,'Ответы учащихся'!J46="AT"),AND(E46=2,'Ответы учащихся'!J46="LIVE")),1,IF('Ответы учащихся'!J46="N",'Ответы учащихся'!J46,0)),""),"")</f>
        <v>0</v>
      </c>
      <c r="L46" s="98">
        <f>IF(AND(OR($C46&lt;&gt;"",$D46&lt;&gt;""),$A46=1,$AJ$6="ДА"),IF(A46=1,IF(OR(AND(E46=1,'Ответы учащихся'!K46="SAID"),AND(E46=2,'Ответы учащихся'!K46="MUCH")),1,IF('Ответы учащихся'!K46="N",'Ответы учащихся'!K46,0)),""),"")</f>
        <v>0</v>
      </c>
      <c r="M46" s="98">
        <f>IF(AND(OR($C46&lt;&gt;"",$D46&lt;&gt;""),$A46=1,$AJ$6="ДА"),IF(A46=1,IF(OR(AND(E46=1,'Ответы учащихся'!L46="MORNING"),AND(E46=2,'Ответы учащихся'!L46="SHEEP")),1,IF('Ответы учащихся'!L46="N",'Ответы учащихся'!L46,0)),""),"")</f>
        <v>0</v>
      </c>
      <c r="N46" s="98">
        <f>IF(AND(OR($C46&lt;&gt;"",$D46&lt;&gt;""),$A46=1,$AJ$6="ДА"),IF(A46=1,IF(OR(AND(E46=1,'Ответы учащихся'!M46="MUCH"),AND(E46=2,'Ответы учащихся'!M46="SELL")),1,IF('Ответы учащихся'!M46="N",'Ответы учащихся'!M46,0)),""),"")</f>
        <v>1</v>
      </c>
      <c r="O46" s="131">
        <f>IF(AND(OR($C46&lt;&gt;"",$D46&lt;&gt;""),$A46=1,$AJ$6="ДА"),IF(A46=1,IF(OR(AND(E46=1,'Ответы учащихся'!N46="LIKE"),AND(E46=2,'Ответы учащихся'!N46="IN")),1,IF('Ответы учащихся'!N46="N",'Ответы учащихся'!N46,0)),""),"")</f>
        <v>1</v>
      </c>
      <c r="P46" s="98">
        <f>IF(AND(OR($C46&lt;&gt;"",$D46&lt;&gt;""),$A46=1,$AJ$6="ДА"),IF(A46=1,IF(OR(AND(E46=1,'Ответы учащихся'!O46="ANIMALS"),AND(E46=2,'Ответы учащихся'!O46="CLOTHES")),1,IF('Ответы учащихся'!O46="N",'Ответы учащихся'!O46,0)),""),"")</f>
        <v>1</v>
      </c>
      <c r="Q46" s="98">
        <f>IF(AND(OR($C46&lt;&gt;"",$D46&lt;&gt;""),$A46=1,$AJ$6="ДА"),IF(A46=1,IF(OR(AND(E46=1,'Ответы учащихся'!P46="WE"),AND(E46=2,'Ответы учащихся'!P46="GOES")),1,IF('Ответы учащихся'!P46="N",'Ответы учащихся'!P46,0)),""),"")</f>
        <v>0</v>
      </c>
      <c r="R46" s="98">
        <f>IF(AND(OR($C46&lt;&gt;"",$D46&lt;&gt;""),$A46=1,$AJ$6="ДА"),IF(A46=1,IF(OR(AND(E46=1,'Ответы учащихся'!Q46="ASKED"),AND(E46=2,'Ответы учащихся'!Q46="MADE")),1,IF('Ответы учащихся'!Q46="N",'Ответы учащихся'!Q46,0)),""),"")</f>
        <v>1</v>
      </c>
      <c r="S46" s="98">
        <f>IF(AND(OR($C46&lt;&gt;"",$D46&lt;&gt;""),$A46=1,$AJ$6="ДА"),IF(A46=1,IF(OR(AND(E46=1,'Ответы учащихся'!R46="LOST"),AND(E46=2,'Ответы учащихся'!R46="GOT")),1,IF('Ответы учащихся'!R46="N",'Ответы учащихся'!R46,0)),""),"")</f>
        <v>0</v>
      </c>
      <c r="T46" s="98">
        <f>IF(AND(OR($C46&lt;&gt;"",$D46&lt;&gt;""),$A46=1,$AJ$6="ДА"),IF(A46=1,IF(OR(AND(E46=1,'Ответы учащихся'!S46="GOT"),AND(E46=2,'Ответы учащихся'!S46="CAME")),1,IF('Ответы учащихся'!S46="N",'Ответы учащихся'!S46,0)),""),"")</f>
        <v>1</v>
      </c>
      <c r="U46" s="98">
        <f>IF(AND(OR($C46&lt;&gt;"",$D46&lt;&gt;""),$A46=1,$AJ$6="ДА"),IF(A46=1,IF(OR(AND(E46=1,'Ответы учащихся'!T46="SAW"),AND(E46=2,'Ответы учащихся'!T46="OPENED")),1,IF('Ответы учащихся'!T46="N",'Ответы учащихся'!T46,0)),""),"")</f>
        <v>1</v>
      </c>
      <c r="V46" s="98">
        <f>IF(AND(OR($C46&lt;&gt;"",$D46&lt;&gt;""),$A46=1,$AJ$6="ДА"),IF(A46=1,IF(OR(AND(E46=1,'Ответы учащихся'!U46="WAS"),AND(E46=2,'Ответы учащихся'!U46="TRIED")),1,IF('Ответы учащихся'!U46="N",'Ответы учащихся'!U46,0)),""),"")</f>
        <v>1</v>
      </c>
      <c r="W46" s="98" t="str">
        <f>IF(AND(OR($C46&lt;&gt;"",$D46&lt;&gt;""),$A46=1,$AJ$6="ДА"),IF(A46=1,IF(OR(AND(E46=1,'Ответы учащихся'!V46="KNEW"),AND(E46=2,'Ответы учащихся'!V46="SAW")),1,IF('Ответы учащихся'!V46="N",'Ответы учащихся'!V46,0)),""),"")</f>
        <v>N</v>
      </c>
      <c r="X46" s="98">
        <f>IF(AND(OR($C46&lt;&gt;"",$D46&lt;&gt;""),$A46=1,$AJ$6="ДА"),IF(A46=1,IF(OR(AND(E46=1,'Ответы учащихся'!W46="BROKE"),AND(E46=2,'Ответы учащихся'!W46="WENT")),1,IF('Ответы учащихся'!W46="N",'Ответы учащихся'!W46,0)),""),"")</f>
        <v>0</v>
      </c>
      <c r="Y46" s="98">
        <f>IF(AND(OR($C46&lt;&gt;"",$D46&lt;&gt;""),$A46=1,$AJ$6="ДА"),IF(A46=1,IF(OR(AND(E46=1,'Ответы учащихся'!X46="CAME"),AND(E46=2,'Ответы учащихся'!X46="BEGAN")),1,IF('Ответы учащихся'!X46="N",'Ответы учащихся'!X46,0)),""),"")</f>
        <v>1</v>
      </c>
      <c r="Z46" s="98">
        <f>IF(AND(OR($C46&lt;&gt;"",$D46&lt;&gt;""),$A46=1,$AJ$6="ДА"),IF(A46=1,IF(OR(AND(E46=1,'Ответы учащихся'!Y46="RODE"),AND(E46=2,'Ответы учащихся'!Y46="PUT")),1,IF('Ответы учащихся'!Y46="N",'Ответы учащихся'!Y46,0)),""),"")</f>
        <v>1</v>
      </c>
      <c r="AA46" s="305">
        <f>IF(AND(OR($C46&lt;&gt;"",$D46&lt;&gt;""),$A46=1,$AJ$6="ДА"),IF(A46=1,IF(OR(AND(E46=1,'Ответы учащихся'!Z46="TOOK"),AND(E46=2,'Ответы учащихся'!Z46="LEFT")),1,IF('Ответы учащихся'!Z46="N",'Ответы учащихся'!Z46,0)),""),"")</f>
        <v>1</v>
      </c>
      <c r="AB46" s="477">
        <f>IF(AND(OR($C46&lt;&gt;"",$D46&lt;&gt;""),$A46=1,$AJ$6="ДА"),IF(OR('Ответы учащихся'!AA46="N",'Ответы учащихся'!AL46="N"),"N",('Ответы учащихся'!AA46+'Ответы учащихся'!AL46)),"")</f>
        <v>2</v>
      </c>
      <c r="AC46" s="310" t="b">
        <f t="shared" si="5"/>
        <v>0</v>
      </c>
      <c r="AD46" s="274">
        <f t="shared" si="6"/>
        <v>1</v>
      </c>
      <c r="AE46" s="274" t="b">
        <f t="shared" si="7"/>
        <v>0</v>
      </c>
      <c r="AF46" s="274" t="b">
        <f t="shared" si="8"/>
        <v>0</v>
      </c>
      <c r="AG46" s="274" t="b">
        <f>IF(OR('Ответы учащихся'!AA46="N",'Ответы учащихся'!AL46="N"),1)</f>
        <v>0</v>
      </c>
      <c r="AH46" s="289">
        <f>IF(AND(OR($C46&lt;&gt;"",$D46&lt;&gt;""),$A46=1,$AJ$6="ДА"),IF(A46=1,IF('Ответы учащихся'!AK46="N",'Ответы учащихся'!AK46,AF46+AG46),""),"")</f>
        <v>0</v>
      </c>
      <c r="AI46" s="461">
        <f t="shared" si="9"/>
        <v>16</v>
      </c>
      <c r="AJ46" s="128">
        <f t="shared" si="10"/>
        <v>0.64</v>
      </c>
      <c r="AK46" s="133">
        <f t="shared" si="11"/>
        <v>6</v>
      </c>
      <c r="AL46" s="269">
        <f t="shared" si="12"/>
        <v>54.54545454545454</v>
      </c>
      <c r="AM46" s="133">
        <f t="shared" si="13"/>
        <v>10</v>
      </c>
      <c r="AN46" s="269">
        <f t="shared" si="14"/>
        <v>71.428571428571431</v>
      </c>
      <c r="AO46" s="435" t="str">
        <f t="shared" si="15"/>
        <v>БАЗОВЫЙ</v>
      </c>
      <c r="AP46" s="427">
        <f t="shared" si="16"/>
        <v>17.068965517241381</v>
      </c>
      <c r="AQ46" s="182">
        <f t="shared" si="17"/>
        <v>0.6827586206896552</v>
      </c>
      <c r="AR46" s="176">
        <v>6</v>
      </c>
      <c r="AS46" s="181">
        <f t="shared" si="18"/>
        <v>69.905956112852664</v>
      </c>
      <c r="AT46" s="183">
        <f>IF(A46=1,IF(OR(AND(E46=1,'Ответы учащихся'!AB46=0.15),AND(E46=2,'Ответы учащихся'!AB46=-2)),1,IF('Ответы учащихся'!AB46="N",'Ответы учащихся'!AB46,0)),"")</f>
        <v>0</v>
      </c>
      <c r="AU46" s="176">
        <f>IF(A46=1,IF(OR(AND(E46=1,'Ответы учащихся'!AC46="м/с"),AND(E46=2,'Ответы учащихся'!AC46="mV0")),1,IF('Ответы учащихся'!AB46="N",'Ответы учащихся'!AB46,0)),"")</f>
        <v>0</v>
      </c>
      <c r="AV46" s="176">
        <f>IF(A46=1,IF(OR(AND(E46=1,'Ответы учащихся'!AD46=-6),AND(E46=2,'Ответы учащихся'!AD46=-10)),1,IF('Ответы учащихся'!AE46="N",'Ответы учащихся'!AE46,0)),"")</f>
        <v>0</v>
      </c>
      <c r="AW46" s="176">
        <f>IF(A46=1,IF(OR(AND(E46=1,'Ответы учащихся'!AE46="Нм"),AND(E46=2,'Ответы учащихся'!AE46="Нм")),1,IF('Ответы учащихся'!AE46="N",'Ответы учащихся'!AE46,0)),"")</f>
        <v>0</v>
      </c>
      <c r="AX46" s="176">
        <f>IF(A46=1,IF(OR(AND(E46=1,'Ответы учащихся'!AF46=250),AND(E46=2,'Ответы учащихся'!AF46=500)),1,IF('Ответы учащихся'!AF46="N",'Ответы учащихся'!AF46,0)),"")</f>
        <v>0</v>
      </c>
      <c r="AY46" s="176">
        <f>IF(A46=1,IF(OR(AND(E46=1,'Ответы учащихся'!AG46="м"),AND(E46=2,'Ответы учащихся'!AG46="Па")),1,IF('Ответы учащихся'!AF46="N",'Ответы учащихся'!AF46,0)),"")</f>
        <v>0</v>
      </c>
      <c r="AZ46" s="177">
        <f>IF(E46=1,(IF('Ответы учащихся'!N46=3,1,IF('Ответы учащихся'!N46="N",'Ответы учащихся'!N46,0))),"")</f>
        <v>0</v>
      </c>
      <c r="BA46" s="178" t="str">
        <f>IF(E46=2,IF('Ответы учащихся'!N46=1,1,(IF('Ответы учащихся'!N46="N",'Ответы учащихся'!N46,0))),"")</f>
        <v/>
      </c>
      <c r="BB46" s="179">
        <f>IF(E46=1,IF('Ответы учащихся'!O46=3,1,IF('Ответы учащихся'!O46="N",'Ответы учащихся'!O46,0)),"")</f>
        <v>0</v>
      </c>
      <c r="BC46" s="178" t="str">
        <f>IF(E46=2,IF('Ответы учащихся'!O46=2,1,IF('Ответы учащихся'!O46="N",'Ответы учащихся'!O46,0)),"")</f>
        <v/>
      </c>
      <c r="BD46" s="179">
        <f>IF(E46=1,IF('Ответы учащихся'!P46=1,1,IF('Ответы учащихся'!P46="N",'Ответы учащихся'!P46,0)),"")</f>
        <v>0</v>
      </c>
      <c r="BE46" s="178" t="str">
        <f>IF(E46=2,IF('Ответы учащихся'!P46=1,1,IF('Ответы учащихся'!P46="N",'Ответы учащихся'!P46,0)),"")</f>
        <v/>
      </c>
      <c r="BF46" s="176"/>
      <c r="BG46" s="176"/>
      <c r="BH46" s="176"/>
      <c r="BI46" s="176"/>
      <c r="BJ46" s="6"/>
      <c r="BK46" s="6"/>
      <c r="BL46" s="6"/>
      <c r="BM46" s="6"/>
      <c r="BN46" s="6"/>
      <c r="BO46" s="6"/>
    </row>
    <row r="47" spans="1:67" ht="12.75" customHeight="1">
      <c r="A47" s="12">
        <f>IF('СПИСОК КЛАССА'!J47&gt;0,1,0)</f>
        <v>1</v>
      </c>
      <c r="B47" s="313">
        <v>28</v>
      </c>
      <c r="C47" s="314">
        <f>IF(NOT(ISBLANK('СПИСОК КЛАССА'!C47)),'СПИСОК КЛАССА'!C47,"")</f>
        <v>28</v>
      </c>
      <c r="D47" s="314" t="str">
        <f>IF(NOT(ISBLANK('СПИСОК КЛАССА'!D47)),IF($A47=1,'СПИСОК КЛАССА'!D47, "УЧЕНИК НЕ ВЫПОЛНЯЛ РАБОТУ"),"")</f>
        <v>СЕМЕНОВ ГРИГОРИЙ</v>
      </c>
      <c r="E47" s="287">
        <f>IF($C47&lt;&gt;"",'СПИСОК КЛАССА'!J47,"")</f>
        <v>2</v>
      </c>
      <c r="F47" s="441">
        <f>IF(AND(OR($C47&lt;&gt;"",$D47&lt;&gt;""),$A47=1,$AJ$6="ДА"),(IF(A47=1,IF(OR(AND(E47=1,'Ответы учащихся'!E47=1),AND(E47=2,'Ответы учащихся'!E47=3)),1,IF('Ответы учащихся'!E47="N",'Ответы учащихся'!E47,0)),"")),"")</f>
        <v>1</v>
      </c>
      <c r="G47" s="442">
        <f>IF(AND(OR($C47&lt;&gt;"",$D47&lt;&gt;""),$A47=1,$AJ$6="ДА"),(IF(A47=1,IF(OR(AND(E47=1,'Ответы учащихся'!F47=2),AND(E47=2,'Ответы учащихся'!F47=3)),1,IF('Ответы учащихся'!F47="N",'Ответы учащихся'!F47,0)),"")),"")</f>
        <v>1</v>
      </c>
      <c r="H47" s="304">
        <f>IF(AND(OR($C47&lt;&gt;"",$D47&lt;&gt;""),$A47=1,$AJ$6="ДА"),IF(A47=1,IF(OR(AND(E47=1,'Ответы учащихся'!G47="GIRL"),AND(E47=2,'Ответы учащихся'!G47="YEARS")),1,IF('Ответы учащихся'!G47="N",'Ответы учащихся'!G47,0)),""),"")</f>
        <v>1</v>
      </c>
      <c r="I47" s="98">
        <f>IF(AND(OR($C47&lt;&gt;"",$D47&lt;&gt;""),$A47=1,$AJ$6="ДА"),IF(A47=1,IF(OR(AND(E47=1,'Ответы учащихся'!H47="SHOUTED"),AND(E47=2,'Ответы учащихся'!H47="HER")),1,IF('Ответы учащихся'!H47="N",'Ответы учащихся'!H47,0)),""),"")</f>
        <v>1</v>
      </c>
      <c r="J47" s="98">
        <f>IF(AND(OR($C47&lt;&gt;"",$D47&lt;&gt;""),$A47=1,$AJ$6="ДА"),IF(A47=1,IF(OR(AND(E47=1,'Ответы учащихся'!I47="ZOO"),AND(E47=2,'Ответы учащихся'!I47="HUSBAND")),1,IF('Ответы учащихся'!I47="N",'Ответы учащихся'!I47,0)),""),"")</f>
        <v>1</v>
      </c>
      <c r="K47" s="98">
        <f>IF(AND(OR($C47&lt;&gt;"",$D47&lt;&gt;""),$A47=1,$AJ$6="ДА"),IF(A47=1,IF(OR(AND(E47=1,'Ответы учащихся'!J47="AT"),AND(E47=2,'Ответы учащихся'!J47="LIVE")),1,IF('Ответы учащихся'!J47="N",'Ответы учащихся'!J47,0)),""),"")</f>
        <v>1</v>
      </c>
      <c r="L47" s="98">
        <f>IF(AND(OR($C47&lt;&gt;"",$D47&lt;&gt;""),$A47=1,$AJ$6="ДА"),IF(A47=1,IF(OR(AND(E47=1,'Ответы учащихся'!K47="SAID"),AND(E47=2,'Ответы учащихся'!K47="MUCH")),1,IF('Ответы учащихся'!K47="N",'Ответы учащихся'!K47,0)),""),"")</f>
        <v>1</v>
      </c>
      <c r="M47" s="98">
        <f>IF(AND(OR($C47&lt;&gt;"",$D47&lt;&gt;""),$A47=1,$AJ$6="ДА"),IF(A47=1,IF(OR(AND(E47=1,'Ответы учащихся'!L47="MORNING"),AND(E47=2,'Ответы учащихся'!L47="SHEEP")),1,IF('Ответы учащихся'!L47="N",'Ответы учащихся'!L47,0)),""),"")</f>
        <v>1</v>
      </c>
      <c r="N47" s="98">
        <f>IF(AND(OR($C47&lt;&gt;"",$D47&lt;&gt;""),$A47=1,$AJ$6="ДА"),IF(A47=1,IF(OR(AND(E47=1,'Ответы учащихся'!M47="MUCH"),AND(E47=2,'Ответы учащихся'!M47="SELL")),1,IF('Ответы учащихся'!M47="N",'Ответы учащихся'!M47,0)),""),"")</f>
        <v>1</v>
      </c>
      <c r="O47" s="131">
        <f>IF(AND(OR($C47&lt;&gt;"",$D47&lt;&gt;""),$A47=1,$AJ$6="ДА"),IF(A47=1,IF(OR(AND(E47=1,'Ответы учащихся'!N47="LIKE"),AND(E47=2,'Ответы учащихся'!N47="IN")),1,IF('Ответы учащихся'!N47="N",'Ответы учащихся'!N47,0)),""),"")</f>
        <v>1</v>
      </c>
      <c r="P47" s="98">
        <f>IF(AND(OR($C47&lt;&gt;"",$D47&lt;&gt;""),$A47=1,$AJ$6="ДА"),IF(A47=1,IF(OR(AND(E47=1,'Ответы учащихся'!O47="ANIMALS"),AND(E47=2,'Ответы учащихся'!O47="CLOTHES")),1,IF('Ответы учащихся'!O47="N",'Ответы учащихся'!O47,0)),""),"")</f>
        <v>1</v>
      </c>
      <c r="Q47" s="98">
        <f>IF(AND(OR($C47&lt;&gt;"",$D47&lt;&gt;""),$A47=1,$AJ$6="ДА"),IF(A47=1,IF(OR(AND(E47=1,'Ответы учащихся'!P47="WE"),AND(E47=2,'Ответы учащихся'!P47="GOES")),1,IF('Ответы учащихся'!P47="N",'Ответы учащихся'!P47,0)),""),"")</f>
        <v>1</v>
      </c>
      <c r="R47" s="98">
        <f>IF(AND(OR($C47&lt;&gt;"",$D47&lt;&gt;""),$A47=1,$AJ$6="ДА"),IF(A47=1,IF(OR(AND(E47=1,'Ответы учащихся'!Q47="ASKED"),AND(E47=2,'Ответы учащихся'!Q47="MADE")),1,IF('Ответы учащихся'!Q47="N",'Ответы учащихся'!Q47,0)),""),"")</f>
        <v>1</v>
      </c>
      <c r="S47" s="98">
        <f>IF(AND(OR($C47&lt;&gt;"",$D47&lt;&gt;""),$A47=1,$AJ$6="ДА"),IF(A47=1,IF(OR(AND(E47=1,'Ответы учащихся'!R47="LOST"),AND(E47=2,'Ответы учащихся'!R47="GOT")),1,IF('Ответы учащихся'!R47="N",'Ответы учащихся'!R47,0)),""),"")</f>
        <v>1</v>
      </c>
      <c r="T47" s="98">
        <f>IF(AND(OR($C47&lt;&gt;"",$D47&lt;&gt;""),$A47=1,$AJ$6="ДА"),IF(A47=1,IF(OR(AND(E47=1,'Ответы учащихся'!S47="GOT"),AND(E47=2,'Ответы учащихся'!S47="CAME")),1,IF('Ответы учащихся'!S47="N",'Ответы учащихся'!S47,0)),""),"")</f>
        <v>1</v>
      </c>
      <c r="U47" s="98">
        <f>IF(AND(OR($C47&lt;&gt;"",$D47&lt;&gt;""),$A47=1,$AJ$6="ДА"),IF(A47=1,IF(OR(AND(E47=1,'Ответы учащихся'!T47="SAW"),AND(E47=2,'Ответы учащихся'!T47="OPENED")),1,IF('Ответы учащихся'!T47="N",'Ответы учащихся'!T47,0)),""),"")</f>
        <v>1</v>
      </c>
      <c r="V47" s="98">
        <f>IF(AND(OR($C47&lt;&gt;"",$D47&lt;&gt;""),$A47=1,$AJ$6="ДА"),IF(A47=1,IF(OR(AND(E47=1,'Ответы учащихся'!U47="WAS"),AND(E47=2,'Ответы учащихся'!U47="TRIED")),1,IF('Ответы учащихся'!U47="N",'Ответы учащихся'!U47,0)),""),"")</f>
        <v>0</v>
      </c>
      <c r="W47" s="98">
        <f>IF(AND(OR($C47&lt;&gt;"",$D47&lt;&gt;""),$A47=1,$AJ$6="ДА"),IF(A47=1,IF(OR(AND(E47=1,'Ответы учащихся'!V47="KNEW"),AND(E47=2,'Ответы учащихся'!V47="SAW")),1,IF('Ответы учащихся'!V47="N",'Ответы учащихся'!V47,0)),""),"")</f>
        <v>1</v>
      </c>
      <c r="X47" s="98">
        <f>IF(AND(OR($C47&lt;&gt;"",$D47&lt;&gt;""),$A47=1,$AJ$6="ДА"),IF(A47=1,IF(OR(AND(E47=1,'Ответы учащихся'!W47="BROKE"),AND(E47=2,'Ответы учащихся'!W47="WENT")),1,IF('Ответы учащихся'!W47="N",'Ответы учащихся'!W47,0)),""),"")</f>
        <v>1</v>
      </c>
      <c r="Y47" s="98">
        <f>IF(AND(OR($C47&lt;&gt;"",$D47&lt;&gt;""),$A47=1,$AJ$6="ДА"),IF(A47=1,IF(OR(AND(E47=1,'Ответы учащихся'!X47="CAME"),AND(E47=2,'Ответы учащихся'!X47="BEGAN")),1,IF('Ответы учащихся'!X47="N",'Ответы учащихся'!X47,0)),""),"")</f>
        <v>0</v>
      </c>
      <c r="Z47" s="98">
        <f>IF(AND(OR($C47&lt;&gt;"",$D47&lt;&gt;""),$A47=1,$AJ$6="ДА"),IF(A47=1,IF(OR(AND(E47=1,'Ответы учащихся'!Y47="RODE"),AND(E47=2,'Ответы учащихся'!Y47="PUT")),1,IF('Ответы учащихся'!Y47="N",'Ответы учащихся'!Y47,0)),""),"")</f>
        <v>1</v>
      </c>
      <c r="AA47" s="305">
        <f>IF(AND(OR($C47&lt;&gt;"",$D47&lt;&gt;""),$A47=1,$AJ$6="ДА"),IF(A47=1,IF(OR(AND(E47=1,'Ответы учащихся'!Z47="TOOK"),AND(E47=2,'Ответы учащихся'!Z47="LEFT")),1,IF('Ответы учащихся'!Z47="N",'Ответы учащихся'!Z47,0)),""),"")</f>
        <v>0</v>
      </c>
      <c r="AB47" s="477">
        <f>IF(AND(OR($C47&lt;&gt;"",$D47&lt;&gt;""),$A47=1,$AJ$6="ДА"),IF(OR('Ответы учащихся'!AA47="N",'Ответы учащихся'!AL47="N"),"N",('Ответы учащихся'!AA47+'Ответы учащихся'!AL47)),"")</f>
        <v>2</v>
      </c>
      <c r="AC47" s="310" t="b">
        <f t="shared" si="5"/>
        <v>0</v>
      </c>
      <c r="AD47" s="274">
        <f t="shared" si="6"/>
        <v>1</v>
      </c>
      <c r="AE47" s="274" t="b">
        <f t="shared" si="7"/>
        <v>0</v>
      </c>
      <c r="AF47" s="274" t="b">
        <f t="shared" si="8"/>
        <v>0</v>
      </c>
      <c r="AG47" s="274" t="b">
        <f>IF(OR('Ответы учащихся'!AA47="N",'Ответы учащихся'!AL47="N"),1)</f>
        <v>0</v>
      </c>
      <c r="AH47" s="289">
        <f>IF(AND(OR($C47&lt;&gt;"",$D47&lt;&gt;""),$A47=1,$AJ$6="ДА"),IF(A47=1,IF('Ответы учащихся'!AK47="N",'Ответы учащихся'!AK47,AF47+AG47),""),"")</f>
        <v>0</v>
      </c>
      <c r="AI47" s="461">
        <f t="shared" si="9"/>
        <v>21</v>
      </c>
      <c r="AJ47" s="128">
        <f t="shared" si="10"/>
        <v>0.84</v>
      </c>
      <c r="AK47" s="133">
        <f t="shared" si="11"/>
        <v>11</v>
      </c>
      <c r="AL47" s="269">
        <f t="shared" si="12"/>
        <v>100</v>
      </c>
      <c r="AM47" s="133">
        <f t="shared" si="13"/>
        <v>10</v>
      </c>
      <c r="AN47" s="269">
        <f t="shared" si="14"/>
        <v>71.428571428571431</v>
      </c>
      <c r="AO47" s="435" t="str">
        <f t="shared" si="15"/>
        <v>ВЫСОКИЙ</v>
      </c>
      <c r="AP47" s="427">
        <f t="shared" si="16"/>
        <v>17.068965517241381</v>
      </c>
      <c r="AQ47" s="182">
        <f t="shared" si="17"/>
        <v>0.6827586206896552</v>
      </c>
      <c r="AR47" s="176">
        <v>6</v>
      </c>
      <c r="AS47" s="181">
        <f t="shared" si="18"/>
        <v>69.905956112852664</v>
      </c>
      <c r="AT47" s="183">
        <f>IF(A47=1,IF(OR(AND(E47=1,'Ответы учащихся'!AB47=0.15),AND(E47=2,'Ответы учащихся'!AB47=-2)),1,IF('Ответы учащихся'!AB47="N",'Ответы учащихся'!AB47,0)),"")</f>
        <v>0</v>
      </c>
      <c r="AU47" s="176">
        <f>IF(A47=1,IF(OR(AND(E47=1,'Ответы учащихся'!AC47="м/с"),AND(E47=2,'Ответы учащихся'!AC47="mV0")),1,IF('Ответы учащихся'!AB47="N",'Ответы учащихся'!AB47,0)),"")</f>
        <v>0</v>
      </c>
      <c r="AV47" s="176">
        <f>IF(A47=1,IF(OR(AND(E47=1,'Ответы учащихся'!AD47=-6),AND(E47=2,'Ответы учащихся'!AD47=-10)),1,IF('Ответы учащихся'!AE47="N",'Ответы учащихся'!AE47,0)),"")</f>
        <v>0</v>
      </c>
      <c r="AW47" s="176">
        <f>IF(A47=1,IF(OR(AND(E47=1,'Ответы учащихся'!AE47="Нм"),AND(E47=2,'Ответы учащихся'!AE47="Нм")),1,IF('Ответы учащихся'!AE47="N",'Ответы учащихся'!AE47,0)),"")</f>
        <v>0</v>
      </c>
      <c r="AX47" s="176">
        <f>IF(A47=1,IF(OR(AND(E47=1,'Ответы учащихся'!AF47=250),AND(E47=2,'Ответы учащихся'!AF47=500)),1,IF('Ответы учащихся'!AF47="N",'Ответы учащихся'!AF47,0)),"")</f>
        <v>0</v>
      </c>
      <c r="AY47" s="176">
        <f>IF(A47=1,IF(OR(AND(E47=1,'Ответы учащихся'!AG47="м"),AND(E47=2,'Ответы учащихся'!AG47="Па")),1,IF('Ответы учащихся'!AF47="N",'Ответы учащихся'!AF47,0)),"")</f>
        <v>0</v>
      </c>
      <c r="AZ47" s="177" t="str">
        <f>IF(E47=1,(IF('Ответы учащихся'!N47=3,1,IF('Ответы учащихся'!N47="N",'Ответы учащихся'!N47,0))),"")</f>
        <v/>
      </c>
      <c r="BA47" s="178">
        <f>IF(E47=2,IF('Ответы учащихся'!N47=1,1,(IF('Ответы учащихся'!N47="N",'Ответы учащихся'!N47,0))),"")</f>
        <v>0</v>
      </c>
      <c r="BB47" s="179" t="str">
        <f>IF(E47=1,IF('Ответы учащихся'!O47=3,1,IF('Ответы учащихся'!O47="N",'Ответы учащихся'!O47,0)),"")</f>
        <v/>
      </c>
      <c r="BC47" s="178">
        <f>IF(E47=2,IF('Ответы учащихся'!O47=2,1,IF('Ответы учащихся'!O47="N",'Ответы учащихся'!O47,0)),"")</f>
        <v>0</v>
      </c>
      <c r="BD47" s="179" t="str">
        <f>IF(E47=1,IF('Ответы учащихся'!P47=1,1,IF('Ответы учащихся'!P47="N",'Ответы учащихся'!P47,0)),"")</f>
        <v/>
      </c>
      <c r="BE47" s="178">
        <f>IF(E47=2,IF('Ответы учащихся'!P47=1,1,IF('Ответы учащихся'!P47="N",'Ответы учащихся'!P47,0)),"")</f>
        <v>0</v>
      </c>
      <c r="BF47" s="176"/>
      <c r="BG47" s="176"/>
      <c r="BH47" s="176"/>
      <c r="BI47" s="176"/>
      <c r="BJ47" s="6"/>
      <c r="BK47" s="6"/>
      <c r="BL47" s="6"/>
      <c r="BM47" s="6"/>
      <c r="BN47" s="6"/>
      <c r="BO47" s="6"/>
    </row>
    <row r="48" spans="1:67" ht="12.75" customHeight="1">
      <c r="A48" s="12">
        <f>IF('СПИСОК КЛАССА'!J48&gt;0,1,0)</f>
        <v>1</v>
      </c>
      <c r="B48" s="313">
        <v>29</v>
      </c>
      <c r="C48" s="314">
        <f>IF(NOT(ISBLANK('СПИСОК КЛАССА'!C48)),'СПИСОК КЛАССА'!C48,"")</f>
        <v>29</v>
      </c>
      <c r="D48" s="314" t="str">
        <f>IF(NOT(ISBLANK('СПИСОК КЛАССА'!D48)),IF($A48=1,'СПИСОК КЛАССА'!D48, "УЧЕНИК НЕ ВЫПОЛНЯЛ РАБОТУ"),"")</f>
        <v>СЕРГАЧ ЕГОР</v>
      </c>
      <c r="E48" s="287">
        <f>IF($C48&lt;&gt;"",'СПИСОК КЛАССА'!J48,"")</f>
        <v>1</v>
      </c>
      <c r="F48" s="441">
        <f>IF(AND(OR($C48&lt;&gt;"",$D48&lt;&gt;""),$A48=1,$AJ$6="ДА"),(IF(A48=1,IF(OR(AND(E48=1,'Ответы учащихся'!E48=1),AND(E48=2,'Ответы учащихся'!E48=3)),1,IF('Ответы учащихся'!E48="N",'Ответы учащихся'!E48,0)),"")),"")</f>
        <v>1</v>
      </c>
      <c r="G48" s="442">
        <f>IF(AND(OR($C48&lt;&gt;"",$D48&lt;&gt;""),$A48=1,$AJ$6="ДА"),(IF(A48=1,IF(OR(AND(E48=1,'Ответы учащихся'!F48=2),AND(E48=2,'Ответы учащихся'!F48=3)),1,IF('Ответы учащихся'!F48="N",'Ответы учащихся'!F48,0)),"")),"")</f>
        <v>1</v>
      </c>
      <c r="H48" s="304">
        <f>IF(AND(OR($C48&lt;&gt;"",$D48&lt;&gt;""),$A48=1,$AJ$6="ДА"),IF(A48=1,IF(OR(AND(E48=1,'Ответы учащихся'!G48="GIRL"),AND(E48=2,'Ответы учащихся'!G48="YEARS")),1,IF('Ответы учащихся'!G48="N",'Ответы учащихся'!G48,0)),""),"")</f>
        <v>1</v>
      </c>
      <c r="I48" s="98">
        <f>IF(AND(OR($C48&lt;&gt;"",$D48&lt;&gt;""),$A48=1,$AJ$6="ДА"),IF(A48=1,IF(OR(AND(E48=1,'Ответы учащихся'!H48="SHOUTED"),AND(E48=2,'Ответы учащихся'!H48="HER")),1,IF('Ответы учащихся'!H48="N",'Ответы учащихся'!H48,0)),""),"")</f>
        <v>1</v>
      </c>
      <c r="J48" s="98">
        <f>IF(AND(OR($C48&lt;&gt;"",$D48&lt;&gt;""),$A48=1,$AJ$6="ДА"),IF(A48=1,IF(OR(AND(E48=1,'Ответы учащихся'!I48="ZOO"),AND(E48=2,'Ответы учащихся'!I48="HUSBAND")),1,IF('Ответы учащихся'!I48="N",'Ответы учащихся'!I48,0)),""),"")</f>
        <v>1</v>
      </c>
      <c r="K48" s="98">
        <f>IF(AND(OR($C48&lt;&gt;"",$D48&lt;&gt;""),$A48=1,$AJ$6="ДА"),IF(A48=1,IF(OR(AND(E48=1,'Ответы учащихся'!J48="AT"),AND(E48=2,'Ответы учащихся'!J48="LIVE")),1,IF('Ответы учащихся'!J48="N",'Ответы учащихся'!J48,0)),""),"")</f>
        <v>1</v>
      </c>
      <c r="L48" s="98">
        <f>IF(AND(OR($C48&lt;&gt;"",$D48&lt;&gt;""),$A48=1,$AJ$6="ДА"),IF(A48=1,IF(OR(AND(E48=1,'Ответы учащихся'!K48="SAID"),AND(E48=2,'Ответы учащихся'!K48="MUCH")),1,IF('Ответы учащихся'!K48="N",'Ответы учащихся'!K48,0)),""),"")</f>
        <v>1</v>
      </c>
      <c r="M48" s="98">
        <f>IF(AND(OR($C48&lt;&gt;"",$D48&lt;&gt;""),$A48=1,$AJ$6="ДА"),IF(A48=1,IF(OR(AND(E48=1,'Ответы учащихся'!L48="MORNING"),AND(E48=2,'Ответы учащихся'!L48="SHEEP")),1,IF('Ответы учащихся'!L48="N",'Ответы учащихся'!L48,0)),""),"")</f>
        <v>1</v>
      </c>
      <c r="N48" s="98">
        <f>IF(AND(OR($C48&lt;&gt;"",$D48&lt;&gt;""),$A48=1,$AJ$6="ДА"),IF(A48=1,IF(OR(AND(E48=1,'Ответы учащихся'!M48="MUCH"),AND(E48=2,'Ответы учащихся'!M48="SELL")),1,IF('Ответы учащихся'!M48="N",'Ответы учащихся'!M48,0)),""),"")</f>
        <v>0</v>
      </c>
      <c r="O48" s="131">
        <f>IF(AND(OR($C48&lt;&gt;"",$D48&lt;&gt;""),$A48=1,$AJ$6="ДА"),IF(A48=1,IF(OR(AND(E48=1,'Ответы учащихся'!N48="LIKE"),AND(E48=2,'Ответы учащихся'!N48="IN")),1,IF('Ответы учащихся'!N48="N",'Ответы учащихся'!N48,0)),""),"")</f>
        <v>0</v>
      </c>
      <c r="P48" s="98">
        <f>IF(AND(OR($C48&lt;&gt;"",$D48&lt;&gt;""),$A48=1,$AJ$6="ДА"),IF(A48=1,IF(OR(AND(E48=1,'Ответы учащихся'!O48="ANIMALS"),AND(E48=2,'Ответы учащихся'!O48="CLOTHES")),1,IF('Ответы учащихся'!O48="N",'Ответы учащихся'!O48,0)),""),"")</f>
        <v>1</v>
      </c>
      <c r="Q48" s="98">
        <f>IF(AND(OR($C48&lt;&gt;"",$D48&lt;&gt;""),$A48=1,$AJ$6="ДА"),IF(A48=1,IF(OR(AND(E48=1,'Ответы учащихся'!P48="WE"),AND(E48=2,'Ответы учащихся'!P48="GOES")),1,IF('Ответы учащихся'!P48="N",'Ответы учащихся'!P48,0)),""),"")</f>
        <v>1</v>
      </c>
      <c r="R48" s="98">
        <f>IF(AND(OR($C48&lt;&gt;"",$D48&lt;&gt;""),$A48=1,$AJ$6="ДА"),IF(A48=1,IF(OR(AND(E48=1,'Ответы учащихся'!Q48="ASKED"),AND(E48=2,'Ответы учащихся'!Q48="MADE")),1,IF('Ответы учащихся'!Q48="N",'Ответы учащихся'!Q48,0)),""),"")</f>
        <v>1</v>
      </c>
      <c r="S48" s="98">
        <f>IF(AND(OR($C48&lt;&gt;"",$D48&lt;&gt;""),$A48=1,$AJ$6="ДА"),IF(A48=1,IF(OR(AND(E48=1,'Ответы учащихся'!R48="LOST"),AND(E48=2,'Ответы учащихся'!R48="GOT")),1,IF('Ответы учащихся'!R48="N",'Ответы учащихся'!R48,0)),""),"")</f>
        <v>1</v>
      </c>
      <c r="T48" s="98">
        <f>IF(AND(OR($C48&lt;&gt;"",$D48&lt;&gt;""),$A48=1,$AJ$6="ДА"),IF(A48=1,IF(OR(AND(E48=1,'Ответы учащихся'!S48="GOT"),AND(E48=2,'Ответы учащихся'!S48="CAME")),1,IF('Ответы учащихся'!S48="N",'Ответы учащихся'!S48,0)),""),"")</f>
        <v>1</v>
      </c>
      <c r="U48" s="98">
        <f>IF(AND(OR($C48&lt;&gt;"",$D48&lt;&gt;""),$A48=1,$AJ$6="ДА"),IF(A48=1,IF(OR(AND(E48=1,'Ответы учащихся'!T48="SAW"),AND(E48=2,'Ответы учащихся'!T48="OPENED")),1,IF('Ответы учащихся'!T48="N",'Ответы учащихся'!T48,0)),""),"")</f>
        <v>1</v>
      </c>
      <c r="V48" s="98">
        <f>IF(AND(OR($C48&lt;&gt;"",$D48&lt;&gt;""),$A48=1,$AJ$6="ДА"),IF(A48=1,IF(OR(AND(E48=1,'Ответы учащихся'!U48="WAS"),AND(E48=2,'Ответы учащихся'!U48="TRIED")),1,IF('Ответы учащихся'!U48="N",'Ответы учащихся'!U48,0)),""),"")</f>
        <v>1</v>
      </c>
      <c r="W48" s="98">
        <f>IF(AND(OR($C48&lt;&gt;"",$D48&lt;&gt;""),$A48=1,$AJ$6="ДА"),IF(A48=1,IF(OR(AND(E48=1,'Ответы учащихся'!V48="KNEW"),AND(E48=2,'Ответы учащихся'!V48="SAW")),1,IF('Ответы учащихся'!V48="N",'Ответы учащихся'!V48,0)),""),"")</f>
        <v>1</v>
      </c>
      <c r="X48" s="98">
        <f>IF(AND(OR($C48&lt;&gt;"",$D48&lt;&gt;""),$A48=1,$AJ$6="ДА"),IF(A48=1,IF(OR(AND(E48=1,'Ответы учащихся'!W48="BROKE"),AND(E48=2,'Ответы учащихся'!W48="WENT")),1,IF('Ответы учащихся'!W48="N",'Ответы учащихся'!W48,0)),""),"")</f>
        <v>0</v>
      </c>
      <c r="Y48" s="98">
        <f>IF(AND(OR($C48&lt;&gt;"",$D48&lt;&gt;""),$A48=1,$AJ$6="ДА"),IF(A48=1,IF(OR(AND(E48=1,'Ответы учащихся'!X48="CAME"),AND(E48=2,'Ответы учащихся'!X48="BEGAN")),1,IF('Ответы учащихся'!X48="N",'Ответы учащихся'!X48,0)),""),"")</f>
        <v>1</v>
      </c>
      <c r="Z48" s="98">
        <f>IF(AND(OR($C48&lt;&gt;"",$D48&lt;&gt;""),$A48=1,$AJ$6="ДА"),IF(A48=1,IF(OR(AND(E48=1,'Ответы учащихся'!Y48="RODE"),AND(E48=2,'Ответы учащихся'!Y48="PUT")),1,IF('Ответы учащихся'!Y48="N",'Ответы учащихся'!Y48,0)),""),"")</f>
        <v>1</v>
      </c>
      <c r="AA48" s="305">
        <f>IF(AND(OR($C48&lt;&gt;"",$D48&lt;&gt;""),$A48=1,$AJ$6="ДА"),IF(A48=1,IF(OR(AND(E48=1,'Ответы учащихся'!Z48="TOOK"),AND(E48=2,'Ответы учащихся'!Z48="LEFT")),1,IF('Ответы учащихся'!Z48="N",'Ответы учащихся'!Z48,0)),""),"")</f>
        <v>1</v>
      </c>
      <c r="AB48" s="477">
        <f>IF(AND(OR($C48&lt;&gt;"",$D48&lt;&gt;""),$A48=1,$AJ$6="ДА"),IF(OR('Ответы учащихся'!AA48="N",'Ответы учащихся'!AL48="N"),"N",('Ответы учащихся'!AA48+'Ответы учащихся'!AL48)),"")</f>
        <v>2</v>
      </c>
      <c r="AC48" s="310" t="b">
        <f t="shared" si="5"/>
        <v>0</v>
      </c>
      <c r="AD48" s="274">
        <f t="shared" si="6"/>
        <v>1</v>
      </c>
      <c r="AE48" s="274" t="b">
        <f t="shared" si="7"/>
        <v>0</v>
      </c>
      <c r="AF48" s="274" t="b">
        <f t="shared" si="8"/>
        <v>0</v>
      </c>
      <c r="AG48" s="274" t="b">
        <f>IF(OR('Ответы учащихся'!AA48="N",'Ответы учащихся'!AL48="N"),1)</f>
        <v>0</v>
      </c>
      <c r="AH48" s="289">
        <f>IF(AND(OR($C48&lt;&gt;"",$D48&lt;&gt;""),$A48=1,$AJ$6="ДА"),IF(A48=1,IF('Ответы учащихся'!AK48="N",'Ответы учащихся'!AK48,AF48+AG48),""),"")</f>
        <v>0</v>
      </c>
      <c r="AI48" s="461">
        <f t="shared" si="9"/>
        <v>21</v>
      </c>
      <c r="AJ48" s="128">
        <f t="shared" si="10"/>
        <v>0.84</v>
      </c>
      <c r="AK48" s="133">
        <f t="shared" si="11"/>
        <v>9</v>
      </c>
      <c r="AL48" s="269">
        <f t="shared" si="12"/>
        <v>81.818181818181827</v>
      </c>
      <c r="AM48" s="133">
        <f t="shared" si="13"/>
        <v>12</v>
      </c>
      <c r="AN48" s="269">
        <f t="shared" si="14"/>
        <v>85.714285714285708</v>
      </c>
      <c r="AO48" s="435" t="str">
        <f t="shared" si="15"/>
        <v>ПОВЫШЕННЫЙ</v>
      </c>
      <c r="AP48" s="427">
        <f t="shared" si="16"/>
        <v>17.068965517241381</v>
      </c>
      <c r="AQ48" s="182">
        <f t="shared" si="17"/>
        <v>0.6827586206896552</v>
      </c>
      <c r="AR48" s="176">
        <v>6</v>
      </c>
      <c r="AS48" s="181">
        <f t="shared" si="18"/>
        <v>69.905956112852664</v>
      </c>
      <c r="AT48" s="183">
        <f>IF(A48=1,IF(OR(AND(E48=1,'Ответы учащихся'!AB48=0.15),AND(E48=2,'Ответы учащихся'!AB48=-2)),1,IF('Ответы учащихся'!AB48="N",'Ответы учащихся'!AB48,0)),"")</f>
        <v>0</v>
      </c>
      <c r="AU48" s="176">
        <f>IF(A48=1,IF(OR(AND(E48=1,'Ответы учащихся'!AC48="м/с"),AND(E48=2,'Ответы учащихся'!AC48="mV0")),1,IF('Ответы учащихся'!AB48="N",'Ответы учащихся'!AB48,0)),"")</f>
        <v>0</v>
      </c>
      <c r="AV48" s="176">
        <f>IF(A48=1,IF(OR(AND(E48=1,'Ответы учащихся'!AD48=-6),AND(E48=2,'Ответы учащихся'!AD48=-10)),1,IF('Ответы учащихся'!AE48="N",'Ответы учащихся'!AE48,0)),"")</f>
        <v>0</v>
      </c>
      <c r="AW48" s="176">
        <f>IF(A48=1,IF(OR(AND(E48=1,'Ответы учащихся'!AE48="Нм"),AND(E48=2,'Ответы учащихся'!AE48="Нм")),1,IF('Ответы учащихся'!AE48="N",'Ответы учащихся'!AE48,0)),"")</f>
        <v>0</v>
      </c>
      <c r="AX48" s="176">
        <f>IF(A48=1,IF(OR(AND(E48=1,'Ответы учащихся'!AF48=250),AND(E48=2,'Ответы учащихся'!AF48=500)),1,IF('Ответы учащихся'!AF48="N",'Ответы учащихся'!AF48,0)),"")</f>
        <v>0</v>
      </c>
      <c r="AY48" s="176">
        <f>IF(A48=1,IF(OR(AND(E48=1,'Ответы учащихся'!AG48="м"),AND(E48=2,'Ответы учащихся'!AG48="Па")),1,IF('Ответы учащихся'!AF48="N",'Ответы учащихся'!AF48,0)),"")</f>
        <v>0</v>
      </c>
      <c r="AZ48" s="177">
        <f>IF(E48=1,(IF('Ответы учащихся'!N48=3,1,IF('Ответы учащихся'!N48="N",'Ответы учащихся'!N48,0))),"")</f>
        <v>0</v>
      </c>
      <c r="BA48" s="178" t="str">
        <f>IF(E48=2,IF('Ответы учащихся'!N48=1,1,(IF('Ответы учащихся'!N48="N",'Ответы учащихся'!N48,0))),"")</f>
        <v/>
      </c>
      <c r="BB48" s="179">
        <f>IF(E48=1,IF('Ответы учащихся'!O48=3,1,IF('Ответы учащихся'!O48="N",'Ответы учащихся'!O48,0)),"")</f>
        <v>0</v>
      </c>
      <c r="BC48" s="178" t="str">
        <f>IF(E48=2,IF('Ответы учащихся'!O48=2,1,IF('Ответы учащихся'!O48="N",'Ответы учащихся'!O48,0)),"")</f>
        <v/>
      </c>
      <c r="BD48" s="179">
        <f>IF(E48=1,IF('Ответы учащихся'!P48=1,1,IF('Ответы учащихся'!P48="N",'Ответы учащихся'!P48,0)),"")</f>
        <v>0</v>
      </c>
      <c r="BE48" s="178" t="str">
        <f>IF(E48=2,IF('Ответы учащихся'!P48=1,1,IF('Ответы учащихся'!P48="N",'Ответы учащихся'!P48,0)),"")</f>
        <v/>
      </c>
      <c r="BF48" s="176"/>
      <c r="BG48" s="176"/>
      <c r="BH48" s="176"/>
      <c r="BI48" s="176"/>
      <c r="BJ48" s="6"/>
      <c r="BK48" s="6"/>
      <c r="BL48" s="6"/>
      <c r="BM48" s="6"/>
      <c r="BN48" s="6"/>
      <c r="BO48" s="6"/>
    </row>
    <row r="49" spans="1:87" ht="12.75" customHeight="1">
      <c r="A49" s="12">
        <f>IF('СПИСОК КЛАССА'!J49&gt;0,1,0)</f>
        <v>0</v>
      </c>
      <c r="B49" s="313">
        <v>30</v>
      </c>
      <c r="C49" s="314" t="str">
        <f>IF(NOT(ISBLANK('СПИСОК КЛАССА'!C49)),'СПИСОК КЛАССА'!C49,"")</f>
        <v/>
      </c>
      <c r="D49" s="314" t="str">
        <f>IF(NOT(ISBLANK('СПИСОК КЛАССА'!D49)),IF($A49=1,'СПИСОК КЛАССА'!D49, "УЧЕНИК НЕ ВЫПОЛНЯЛ РАБОТУ"),"")</f>
        <v/>
      </c>
      <c r="E49" s="287" t="str">
        <f>IF($C49&lt;&gt;"",'СПИСОК КЛАССА'!J49,"")</f>
        <v/>
      </c>
      <c r="F49" s="441" t="str">
        <f>IF(AND(OR($C49&lt;&gt;"",$D49&lt;&gt;""),$A49=1,$AJ$6="ДА"),(IF(A49=1,IF(OR(AND(E49=1,'Ответы учащихся'!E49=1),AND(E49=2,'Ответы учащихся'!E49=3)),1,IF('Ответы учащихся'!E49="N",'Ответы учащихся'!E49,0)),"")),"")</f>
        <v/>
      </c>
      <c r="G49" s="442" t="str">
        <f>IF(AND(OR($C49&lt;&gt;"",$D49&lt;&gt;""),$A49=1,$AJ$6="ДА"),(IF(A49=1,IF(OR(AND(E49=1,'Ответы учащихся'!F49=2),AND(E49=2,'Ответы учащихся'!F49=3)),1,IF('Ответы учащихся'!F49="N",'Ответы учащихся'!F49,0)),"")),"")</f>
        <v/>
      </c>
      <c r="H49" s="304" t="str">
        <f>IF(AND(OR($C49&lt;&gt;"",$D49&lt;&gt;""),$A49=1,$AJ$6="ДА"),IF(A49=1,IF(OR(AND(E49=1,'Ответы учащихся'!G49="GIRL"),AND(E49=2,'Ответы учащихся'!G49="YEARS")),1,IF('Ответы учащихся'!G49="N",'Ответы учащихся'!G49,0)),""),"")</f>
        <v/>
      </c>
      <c r="I49" s="98" t="str">
        <f>IF(AND(OR($C49&lt;&gt;"",$D49&lt;&gt;""),$A49=1,$AJ$6="ДА"),IF(A49=1,IF(OR(AND(E49=1,'Ответы учащихся'!H49="SHOUTED"),AND(E49=2,'Ответы учащихся'!H49="HER")),1,IF('Ответы учащихся'!H49="N",'Ответы учащихся'!H49,0)),""),"")</f>
        <v/>
      </c>
      <c r="J49" s="98" t="str">
        <f>IF(AND(OR($C49&lt;&gt;"",$D49&lt;&gt;""),$A49=1,$AJ$6="ДА"),IF(A49=1,IF(OR(AND(E49=1,'Ответы учащихся'!I49="ZOO"),AND(E49=2,'Ответы учащихся'!I49="HUSBAND")),1,IF('Ответы учащихся'!I49="N",'Ответы учащихся'!I49,0)),""),"")</f>
        <v/>
      </c>
      <c r="K49" s="98" t="str">
        <f>IF(AND(OR($C49&lt;&gt;"",$D49&lt;&gt;""),$A49=1,$AJ$6="ДА"),IF(A49=1,IF(OR(AND(E49=1,'Ответы учащихся'!J49="AT"),AND(E49=2,'Ответы учащихся'!J49="LIVE")),1,IF('Ответы учащихся'!J49="N",'Ответы учащихся'!J49,0)),""),"")</f>
        <v/>
      </c>
      <c r="L49" s="98" t="str">
        <f>IF(AND(OR($C49&lt;&gt;"",$D49&lt;&gt;""),$A49=1,$AJ$6="ДА"),IF(A49=1,IF(OR(AND(E49=1,'Ответы учащихся'!K49="SAID"),AND(E49=2,'Ответы учащихся'!K49="MUCH")),1,IF('Ответы учащихся'!K49="N",'Ответы учащихся'!K49,0)),""),"")</f>
        <v/>
      </c>
      <c r="M49" s="98" t="str">
        <f>IF(AND(OR($C49&lt;&gt;"",$D49&lt;&gt;""),$A49=1,$AJ$6="ДА"),IF(A49=1,IF(OR(AND(E49=1,'Ответы учащихся'!L49="MORNING"),AND(E49=2,'Ответы учащихся'!L49="SHEEP")),1,IF('Ответы учащихся'!L49="N",'Ответы учащихся'!L49,0)),""),"")</f>
        <v/>
      </c>
      <c r="N49" s="98" t="str">
        <f>IF(AND(OR($C49&lt;&gt;"",$D49&lt;&gt;""),$A49=1,$AJ$6="ДА"),IF(A49=1,IF(OR(AND(E49=1,'Ответы учащихся'!M49="MUCH"),AND(E49=2,'Ответы учащихся'!M49="SELL")),1,IF('Ответы учащихся'!M49="N",'Ответы учащихся'!M49,0)),""),"")</f>
        <v/>
      </c>
      <c r="O49" s="131" t="str">
        <f>IF(AND(OR($C49&lt;&gt;"",$D49&lt;&gt;""),$A49=1,$AJ$6="ДА"),IF(A49=1,IF(OR(AND(E49=1,'Ответы учащихся'!N49="LIKE"),AND(E49=2,'Ответы учащихся'!N49="IN")),1,IF('Ответы учащихся'!N49="N",'Ответы учащихся'!N49,0)),""),"")</f>
        <v/>
      </c>
      <c r="P49" s="98" t="str">
        <f>IF(AND(OR($C49&lt;&gt;"",$D49&lt;&gt;""),$A49=1,$AJ$6="ДА"),IF(A49=1,IF(OR(AND(E49=1,'Ответы учащихся'!O49="ANIMALS"),AND(E49=2,'Ответы учащихся'!O49="CLOTHES")),1,IF('Ответы учащихся'!O49="N",'Ответы учащихся'!O49,0)),""),"")</f>
        <v/>
      </c>
      <c r="Q49" s="98" t="str">
        <f>IF(AND(OR($C49&lt;&gt;"",$D49&lt;&gt;""),$A49=1,$AJ$6="ДА"),IF(A49=1,IF(OR(AND(E49=1,'Ответы учащихся'!P49="WE"),AND(E49=2,'Ответы учащихся'!P49="GOES")),1,IF('Ответы учащихся'!P49="N",'Ответы учащихся'!P49,0)),""),"")</f>
        <v/>
      </c>
      <c r="R49" s="98" t="str">
        <f>IF(AND(OR($C49&lt;&gt;"",$D49&lt;&gt;""),$A49=1,$AJ$6="ДА"),IF(A49=1,IF(OR(AND(E49=1,'Ответы учащихся'!Q49="ASKED"),AND(E49=2,'Ответы учащихся'!Q49="MADE")),1,IF('Ответы учащихся'!Q49="N",'Ответы учащихся'!Q49,0)),""),"")</f>
        <v/>
      </c>
      <c r="S49" s="98" t="str">
        <f>IF(AND(OR($C49&lt;&gt;"",$D49&lt;&gt;""),$A49=1,$AJ$6="ДА"),IF(A49=1,IF(OR(AND(E49=1,'Ответы учащихся'!R49="LOST"),AND(E49=2,'Ответы учащихся'!R49="GOT")),1,IF('Ответы учащихся'!R49="N",'Ответы учащихся'!R49,0)),""),"")</f>
        <v/>
      </c>
      <c r="T49" s="98" t="str">
        <f>IF(AND(OR($C49&lt;&gt;"",$D49&lt;&gt;""),$A49=1,$AJ$6="ДА"),IF(A49=1,IF(OR(AND(E49=1,'Ответы учащихся'!S49="GOT"),AND(E49=2,'Ответы учащихся'!S49="CAME")),1,IF('Ответы учащихся'!S49="N",'Ответы учащихся'!S49,0)),""),"")</f>
        <v/>
      </c>
      <c r="U49" s="98" t="str">
        <f>IF(AND(OR($C49&lt;&gt;"",$D49&lt;&gt;""),$A49=1,$AJ$6="ДА"),IF(A49=1,IF(OR(AND(E49=1,'Ответы учащихся'!T49="SAW"),AND(E49=2,'Ответы учащихся'!T49="OPENED")),1,IF('Ответы учащихся'!T49="N",'Ответы учащихся'!T49,0)),""),"")</f>
        <v/>
      </c>
      <c r="V49" s="98" t="str">
        <f>IF(AND(OR($C49&lt;&gt;"",$D49&lt;&gt;""),$A49=1,$AJ$6="ДА"),IF(A49=1,IF(OR(AND(E49=1,'Ответы учащихся'!U49="WAS"),AND(E49=2,'Ответы учащихся'!U49="TRIED")),1,IF('Ответы учащихся'!U49="N",'Ответы учащихся'!U49,0)),""),"")</f>
        <v/>
      </c>
      <c r="W49" s="98" t="str">
        <f>IF(AND(OR($C49&lt;&gt;"",$D49&lt;&gt;""),$A49=1,$AJ$6="ДА"),IF(A49=1,IF(OR(AND(E49=1,'Ответы учащихся'!V49="KNEW"),AND(E49=2,'Ответы учащихся'!V49="SAW")),1,IF('Ответы учащихся'!V49="N",'Ответы учащихся'!V49,0)),""),"")</f>
        <v/>
      </c>
      <c r="X49" s="98" t="str">
        <f>IF(AND(OR($C49&lt;&gt;"",$D49&lt;&gt;""),$A49=1,$AJ$6="ДА"),IF(A49=1,IF(OR(AND(E49=1,'Ответы учащихся'!W49="BROKE"),AND(E49=2,'Ответы учащихся'!W49="WENT")),1,IF('Ответы учащихся'!W49="N",'Ответы учащихся'!W49,0)),""),"")</f>
        <v/>
      </c>
      <c r="Y49" s="98" t="str">
        <f>IF(AND(OR($C49&lt;&gt;"",$D49&lt;&gt;""),$A49=1,$AJ$6="ДА"),IF(A49=1,IF(OR(AND(E49=1,'Ответы учащихся'!X49="CAME"),AND(E49=2,'Ответы учащихся'!X49="BEGAN")),1,IF('Ответы учащихся'!X49="N",'Ответы учащихся'!X49,0)),""),"")</f>
        <v/>
      </c>
      <c r="Z49" s="98" t="str">
        <f>IF(AND(OR($C49&lt;&gt;"",$D49&lt;&gt;""),$A49=1,$AJ$6="ДА"),IF(A49=1,IF(OR(AND(E49=1,'Ответы учащихся'!Y49="RODE"),AND(E49=2,'Ответы учащихся'!Y49="PUT")),1,IF('Ответы учащихся'!Y49="N",'Ответы учащихся'!Y49,0)),""),"")</f>
        <v/>
      </c>
      <c r="AA49" s="305" t="str">
        <f>IF(AND(OR($C49&lt;&gt;"",$D49&lt;&gt;""),$A49=1,$AJ$6="ДА"),IF(A49=1,IF(OR(AND(E49=1,'Ответы учащихся'!Z49="TOOK"),AND(E49=2,'Ответы учащихся'!Z49="LEFT")),1,IF('Ответы учащихся'!Z49="N",'Ответы учащихся'!Z49,0)),""),"")</f>
        <v/>
      </c>
      <c r="AB49" s="477" t="str">
        <f>IF(AND(OR($C49&lt;&gt;"",$D49&lt;&gt;""),$A49=1,$AJ$6="ДА"),IF(OR('Ответы учащихся'!AA49="N",'Ответы учащихся'!AL49="N"),"N",('Ответы учащихся'!AA49+'Ответы учащихся'!AL49)),"")</f>
        <v/>
      </c>
      <c r="AC49" s="310" t="b">
        <f t="shared" si="5"/>
        <v>0</v>
      </c>
      <c r="AD49" s="274" t="b">
        <f t="shared" si="6"/>
        <v>0</v>
      </c>
      <c r="AE49" s="274" t="b">
        <f t="shared" si="7"/>
        <v>0</v>
      </c>
      <c r="AF49" s="274" t="b">
        <f t="shared" si="8"/>
        <v>0</v>
      </c>
      <c r="AG49" s="274" t="b">
        <f>IF(OR('Ответы учащихся'!AA49="N",'Ответы учащихся'!AL49="N"),1)</f>
        <v>0</v>
      </c>
      <c r="AH49" s="289" t="str">
        <f>IF(AND(OR($C49&lt;&gt;"",$D49&lt;&gt;""),$A49=1,$AJ$6="ДА"),IF(A49=1,IF('Ответы учащихся'!AK49="N",'Ответы учащихся'!AK49,AF49+AG49),""),"")</f>
        <v/>
      </c>
      <c r="AI49" s="461" t="str">
        <f t="shared" si="9"/>
        <v/>
      </c>
      <c r="AJ49" s="128" t="str">
        <f t="shared" si="10"/>
        <v/>
      </c>
      <c r="AK49" s="133" t="str">
        <f t="shared" si="11"/>
        <v/>
      </c>
      <c r="AL49" s="269" t="str">
        <f t="shared" si="12"/>
        <v/>
      </c>
      <c r="AM49" s="133" t="str">
        <f t="shared" si="13"/>
        <v/>
      </c>
      <c r="AN49" s="269" t="str">
        <f t="shared" si="14"/>
        <v/>
      </c>
      <c r="AO49" s="435" t="str">
        <f t="shared" si="15"/>
        <v/>
      </c>
      <c r="AP49" s="427">
        <f t="shared" si="16"/>
        <v>17.068965517241381</v>
      </c>
      <c r="AQ49" s="182">
        <f t="shared" si="17"/>
        <v>0.6827586206896552</v>
      </c>
      <c r="AR49" s="176">
        <v>6</v>
      </c>
      <c r="AS49" s="181">
        <f t="shared" si="18"/>
        <v>69.905956112852664</v>
      </c>
      <c r="AT49" s="183" t="str">
        <f>IF(A49=1,IF(OR(AND(E49=1,'Ответы учащихся'!AB49=0.15),AND(E49=2,'Ответы учащихся'!AB49=-2)),1,IF('Ответы учащихся'!AB49="N",'Ответы учащихся'!AB49,0)),"")</f>
        <v/>
      </c>
      <c r="AU49" s="176" t="str">
        <f>IF(A49=1,IF(OR(AND(E49=1,'Ответы учащихся'!AC49="м/с"),AND(E49=2,'Ответы учащихся'!AC49="mV0")),1,IF('Ответы учащихся'!AB49="N",'Ответы учащихся'!AB49,0)),"")</f>
        <v/>
      </c>
      <c r="AV49" s="176" t="str">
        <f>IF(A49=1,IF(OR(AND(E49=1,'Ответы учащихся'!AD49=-6),AND(E49=2,'Ответы учащихся'!AD49=-10)),1,IF('Ответы учащихся'!AE49="N",'Ответы учащихся'!AE49,0)),"")</f>
        <v/>
      </c>
      <c r="AW49" s="176" t="str">
        <f>IF(A49=1,IF(OR(AND(E49=1,'Ответы учащихся'!AE49="Нм"),AND(E49=2,'Ответы учащихся'!AE49="Нм")),1,IF('Ответы учащихся'!AE49="N",'Ответы учащихся'!AE49,0)),"")</f>
        <v/>
      </c>
      <c r="AX49" s="176" t="str">
        <f>IF(A49=1,IF(OR(AND(E49=1,'Ответы учащихся'!AF49=250),AND(E49=2,'Ответы учащихся'!AF49=500)),1,IF('Ответы учащихся'!AF49="N",'Ответы учащихся'!AF49,0)),"")</f>
        <v/>
      </c>
      <c r="AY49" s="176" t="str">
        <f>IF(A49=1,IF(OR(AND(E49=1,'Ответы учащихся'!AG49="м"),AND(E49=2,'Ответы учащихся'!AG49="Па")),1,IF('Ответы учащихся'!AF49="N",'Ответы учащихся'!AF49,0)),"")</f>
        <v/>
      </c>
      <c r="AZ49" s="177" t="str">
        <f>IF(E49=1,(IF('Ответы учащихся'!N49=3,1,IF('Ответы учащихся'!N49="N",'Ответы учащихся'!N49,0))),"")</f>
        <v/>
      </c>
      <c r="BA49" s="178" t="str">
        <f>IF(E49=2,IF('Ответы учащихся'!N49=1,1,(IF('Ответы учащихся'!N49="N",'Ответы учащихся'!N49,0))),"")</f>
        <v/>
      </c>
      <c r="BB49" s="179" t="str">
        <f>IF(E49=1,IF('Ответы учащихся'!O49=3,1,IF('Ответы учащихся'!O49="N",'Ответы учащихся'!O49,0)),"")</f>
        <v/>
      </c>
      <c r="BC49" s="178" t="str">
        <f>IF(E49=2,IF('Ответы учащихся'!O49=2,1,IF('Ответы учащихся'!O49="N",'Ответы учащихся'!O49,0)),"")</f>
        <v/>
      </c>
      <c r="BD49" s="179" t="str">
        <f>IF(E49=1,IF('Ответы учащихся'!P49=1,1,IF('Ответы учащихся'!P49="N",'Ответы учащихся'!P49,0)),"")</f>
        <v/>
      </c>
      <c r="BE49" s="178" t="str">
        <f>IF(E49=2,IF('Ответы учащихся'!P49=1,1,IF('Ответы учащихся'!P49="N",'Ответы учащихся'!P49,0)),"")</f>
        <v/>
      </c>
      <c r="BF49" s="176"/>
      <c r="BG49" s="176"/>
      <c r="BH49" s="176"/>
      <c r="BI49" s="176"/>
      <c r="BJ49" s="6"/>
      <c r="BK49" s="6"/>
      <c r="BL49" s="6"/>
      <c r="BM49" s="6"/>
      <c r="BN49" s="6"/>
      <c r="BO49" s="6"/>
    </row>
    <row r="50" spans="1:87" ht="12.75" customHeight="1">
      <c r="A50" s="12">
        <f>IF('СПИСОК КЛАССА'!J50&gt;0,1,0)</f>
        <v>0</v>
      </c>
      <c r="B50" s="313">
        <v>31</v>
      </c>
      <c r="C50" s="314" t="str">
        <f>IF(NOT(ISBLANK('СПИСОК КЛАССА'!C50)),'СПИСОК КЛАССА'!C50,"")</f>
        <v/>
      </c>
      <c r="D50" s="314" t="str">
        <f>IF(NOT(ISBLANK('СПИСОК КЛАССА'!D50)),IF($A50=1,'СПИСОК КЛАССА'!D50, "УЧЕНИК НЕ ВЫПОЛНЯЛ РАБОТУ"),"")</f>
        <v/>
      </c>
      <c r="E50" s="287" t="str">
        <f>IF($C50&lt;&gt;"",'СПИСОК КЛАССА'!J50,"")</f>
        <v/>
      </c>
      <c r="F50" s="441" t="str">
        <f>IF(AND(OR($C50&lt;&gt;"",$D50&lt;&gt;""),$A50=1,$AJ$6="ДА"),(IF(A50=1,IF(OR(AND(E50=1,'Ответы учащихся'!E50=1),AND(E50=2,'Ответы учащихся'!E50=3)),1,IF('Ответы учащихся'!E50="N",'Ответы учащихся'!E50,0)),"")),"")</f>
        <v/>
      </c>
      <c r="G50" s="442" t="str">
        <f>IF(AND(OR($C50&lt;&gt;"",$D50&lt;&gt;""),$A50=1,$AJ$6="ДА"),(IF(A50=1,IF(OR(AND(E50=1,'Ответы учащихся'!F50=2),AND(E50=2,'Ответы учащихся'!F50=3)),1,IF('Ответы учащихся'!F50="N",'Ответы учащихся'!F50,0)),"")),"")</f>
        <v/>
      </c>
      <c r="H50" s="304" t="str">
        <f>IF(AND(OR($C50&lt;&gt;"",$D50&lt;&gt;""),$A50=1,$AJ$6="ДА"),IF(A50=1,IF(OR(AND(E50=1,'Ответы учащихся'!G50="GIRL"),AND(E50=2,'Ответы учащихся'!G50="YEARS")),1,IF('Ответы учащихся'!G50="N",'Ответы учащихся'!G50,0)),""),"")</f>
        <v/>
      </c>
      <c r="I50" s="98" t="str">
        <f>IF(AND(OR($C50&lt;&gt;"",$D50&lt;&gt;""),$A50=1,$AJ$6="ДА"),IF(A50=1,IF(OR(AND(E50=1,'Ответы учащихся'!H50="SHOUTED"),AND(E50=2,'Ответы учащихся'!H50="HER")),1,IF('Ответы учащихся'!H50="N",'Ответы учащихся'!H50,0)),""),"")</f>
        <v/>
      </c>
      <c r="J50" s="98" t="str">
        <f>IF(AND(OR($C50&lt;&gt;"",$D50&lt;&gt;""),$A50=1,$AJ$6="ДА"),IF(A50=1,IF(OR(AND(E50=1,'Ответы учащихся'!I50="ZOO"),AND(E50=2,'Ответы учащихся'!I50="HUSBAND")),1,IF('Ответы учащихся'!I50="N",'Ответы учащихся'!I50,0)),""),"")</f>
        <v/>
      </c>
      <c r="K50" s="98" t="str">
        <f>IF(AND(OR($C50&lt;&gt;"",$D50&lt;&gt;""),$A50=1,$AJ$6="ДА"),IF(A50=1,IF(OR(AND(E50=1,'Ответы учащихся'!J50="AT"),AND(E50=2,'Ответы учащихся'!J50="LIVE")),1,IF('Ответы учащихся'!J50="N",'Ответы учащихся'!J50,0)),""),"")</f>
        <v/>
      </c>
      <c r="L50" s="98" t="str">
        <f>IF(AND(OR($C50&lt;&gt;"",$D50&lt;&gt;""),$A50=1,$AJ$6="ДА"),IF(A50=1,IF(OR(AND(E50=1,'Ответы учащихся'!K50="SAID"),AND(E50=2,'Ответы учащихся'!K50="MUCH")),1,IF('Ответы учащихся'!K50="N",'Ответы учащихся'!K50,0)),""),"")</f>
        <v/>
      </c>
      <c r="M50" s="98" t="str">
        <f>IF(AND(OR($C50&lt;&gt;"",$D50&lt;&gt;""),$A50=1,$AJ$6="ДА"),IF(A50=1,IF(OR(AND(E50=1,'Ответы учащихся'!L50="MORNING"),AND(E50=2,'Ответы учащихся'!L50="SHEEP")),1,IF('Ответы учащихся'!L50="N",'Ответы учащихся'!L50,0)),""),"")</f>
        <v/>
      </c>
      <c r="N50" s="98" t="str">
        <f>IF(AND(OR($C50&lt;&gt;"",$D50&lt;&gt;""),$A50=1,$AJ$6="ДА"),IF(A50=1,IF(OR(AND(E50=1,'Ответы учащихся'!M50="MUCH"),AND(E50=2,'Ответы учащихся'!M50="SELL")),1,IF('Ответы учащихся'!M50="N",'Ответы учащихся'!M50,0)),""),"")</f>
        <v/>
      </c>
      <c r="O50" s="131" t="str">
        <f>IF(AND(OR($C50&lt;&gt;"",$D50&lt;&gt;""),$A50=1,$AJ$6="ДА"),IF(A50=1,IF(OR(AND(E50=1,'Ответы учащихся'!N50="LIKE"),AND(E50=2,'Ответы учащихся'!N50="IN")),1,IF('Ответы учащихся'!N50="N",'Ответы учащихся'!N50,0)),""),"")</f>
        <v/>
      </c>
      <c r="P50" s="98" t="str">
        <f>IF(AND(OR($C50&lt;&gt;"",$D50&lt;&gt;""),$A50=1,$AJ$6="ДА"),IF(A50=1,IF(OR(AND(E50=1,'Ответы учащихся'!O50="ANIMALS"),AND(E50=2,'Ответы учащихся'!O50="CLOTHES")),1,IF('Ответы учащихся'!O50="N",'Ответы учащихся'!O50,0)),""),"")</f>
        <v/>
      </c>
      <c r="Q50" s="98" t="str">
        <f>IF(AND(OR($C50&lt;&gt;"",$D50&lt;&gt;""),$A50=1,$AJ$6="ДА"),IF(A50=1,IF(OR(AND(E50=1,'Ответы учащихся'!P50="WE"),AND(E50=2,'Ответы учащихся'!P50="GOES")),1,IF('Ответы учащихся'!P50="N",'Ответы учащихся'!P50,0)),""),"")</f>
        <v/>
      </c>
      <c r="R50" s="98" t="str">
        <f>IF(AND(OR($C50&lt;&gt;"",$D50&lt;&gt;""),$A50=1,$AJ$6="ДА"),IF(A50=1,IF(OR(AND(E50=1,'Ответы учащихся'!Q50="ASKED"),AND(E50=2,'Ответы учащихся'!Q50="MADE")),1,IF('Ответы учащихся'!Q50="N",'Ответы учащихся'!Q50,0)),""),"")</f>
        <v/>
      </c>
      <c r="S50" s="98" t="str">
        <f>IF(AND(OR($C50&lt;&gt;"",$D50&lt;&gt;""),$A50=1,$AJ$6="ДА"),IF(A50=1,IF(OR(AND(E50=1,'Ответы учащихся'!R50="LOST"),AND(E50=2,'Ответы учащихся'!R50="GOT")),1,IF('Ответы учащихся'!R50="N",'Ответы учащихся'!R50,0)),""),"")</f>
        <v/>
      </c>
      <c r="T50" s="98" t="str">
        <f>IF(AND(OR($C50&lt;&gt;"",$D50&lt;&gt;""),$A50=1,$AJ$6="ДА"),IF(A50=1,IF(OR(AND(E50=1,'Ответы учащихся'!S50="GOT"),AND(E50=2,'Ответы учащихся'!S50="CAME")),1,IF('Ответы учащихся'!S50="N",'Ответы учащихся'!S50,0)),""),"")</f>
        <v/>
      </c>
      <c r="U50" s="98" t="str">
        <f>IF(AND(OR($C50&lt;&gt;"",$D50&lt;&gt;""),$A50=1,$AJ$6="ДА"),IF(A50=1,IF(OR(AND(E50=1,'Ответы учащихся'!T50="SAW"),AND(E50=2,'Ответы учащихся'!T50="OPENED")),1,IF('Ответы учащихся'!T50="N",'Ответы учащихся'!T50,0)),""),"")</f>
        <v/>
      </c>
      <c r="V50" s="98" t="str">
        <f>IF(AND(OR($C50&lt;&gt;"",$D50&lt;&gt;""),$A50=1,$AJ$6="ДА"),IF(A50=1,IF(OR(AND(E50=1,'Ответы учащихся'!U50="WAS"),AND(E50=2,'Ответы учащихся'!U50="TRIED")),1,IF('Ответы учащихся'!U50="N",'Ответы учащихся'!U50,0)),""),"")</f>
        <v/>
      </c>
      <c r="W50" s="98" t="str">
        <f>IF(AND(OR($C50&lt;&gt;"",$D50&lt;&gt;""),$A50=1,$AJ$6="ДА"),IF(A50=1,IF(OR(AND(E50=1,'Ответы учащихся'!V50="KNEW"),AND(E50=2,'Ответы учащихся'!V50="SAW")),1,IF('Ответы учащихся'!V50="N",'Ответы учащихся'!V50,0)),""),"")</f>
        <v/>
      </c>
      <c r="X50" s="98" t="str">
        <f>IF(AND(OR($C50&lt;&gt;"",$D50&lt;&gt;""),$A50=1,$AJ$6="ДА"),IF(A50=1,IF(OR(AND(E50=1,'Ответы учащихся'!W50="BROKE"),AND(E50=2,'Ответы учащихся'!W50="WENT")),1,IF('Ответы учащихся'!W50="N",'Ответы учащихся'!W50,0)),""),"")</f>
        <v/>
      </c>
      <c r="Y50" s="98" t="str">
        <f>IF(AND(OR($C50&lt;&gt;"",$D50&lt;&gt;""),$A50=1,$AJ$6="ДА"),IF(A50=1,IF(OR(AND(E50=1,'Ответы учащихся'!X50="CAME"),AND(E50=2,'Ответы учащихся'!X50="BEGAN")),1,IF('Ответы учащихся'!X50="N",'Ответы учащихся'!X50,0)),""),"")</f>
        <v/>
      </c>
      <c r="Z50" s="98" t="str">
        <f>IF(AND(OR($C50&lt;&gt;"",$D50&lt;&gt;""),$A50=1,$AJ$6="ДА"),IF(A50=1,IF(OR(AND(E50=1,'Ответы учащихся'!Y50="RODE"),AND(E50=2,'Ответы учащихся'!Y50="PUT")),1,IF('Ответы учащихся'!Y50="N",'Ответы учащихся'!Y50,0)),""),"")</f>
        <v/>
      </c>
      <c r="AA50" s="305" t="str">
        <f>IF(AND(OR($C50&lt;&gt;"",$D50&lt;&gt;""),$A50=1,$AJ$6="ДА"),IF(A50=1,IF(OR(AND(E50=1,'Ответы учащихся'!Z50="TOOK"),AND(E50=2,'Ответы учащихся'!Z50="LEFT")),1,IF('Ответы учащихся'!Z50="N",'Ответы учащихся'!Z50,0)),""),"")</f>
        <v/>
      </c>
      <c r="AB50" s="477" t="str">
        <f>IF(AND(OR($C50&lt;&gt;"",$D50&lt;&gt;""),$A50=1,$AJ$6="ДА"),IF(OR('Ответы учащихся'!AA50="N",'Ответы учащихся'!AL50="N"),"N",('Ответы учащихся'!AA50+'Ответы учащихся'!AL50)),"")</f>
        <v/>
      </c>
      <c r="AC50" s="310" t="b">
        <f t="shared" si="5"/>
        <v>0</v>
      </c>
      <c r="AD50" s="274" t="b">
        <f t="shared" si="6"/>
        <v>0</v>
      </c>
      <c r="AE50" s="274" t="b">
        <f t="shared" si="7"/>
        <v>0</v>
      </c>
      <c r="AF50" s="274" t="b">
        <f t="shared" si="8"/>
        <v>0</v>
      </c>
      <c r="AG50" s="274" t="b">
        <f>IF(OR('Ответы учащихся'!AA50="N",'Ответы учащихся'!AL50="N"),1)</f>
        <v>0</v>
      </c>
      <c r="AH50" s="289" t="str">
        <f>IF(AND(OR($C50&lt;&gt;"",$D50&lt;&gt;""),$A50=1,$AJ$6="ДА"),IF(A50=1,IF('Ответы учащихся'!AK50="N",'Ответы учащихся'!AK50,AF50+AG50),""),"")</f>
        <v/>
      </c>
      <c r="AI50" s="461" t="str">
        <f t="shared" si="9"/>
        <v/>
      </c>
      <c r="AJ50" s="128" t="str">
        <f t="shared" si="10"/>
        <v/>
      </c>
      <c r="AK50" s="133" t="str">
        <f t="shared" si="11"/>
        <v/>
      </c>
      <c r="AL50" s="269" t="str">
        <f t="shared" si="12"/>
        <v/>
      </c>
      <c r="AM50" s="133" t="str">
        <f t="shared" si="13"/>
        <v/>
      </c>
      <c r="AN50" s="269" t="str">
        <f t="shared" si="14"/>
        <v/>
      </c>
      <c r="AO50" s="435" t="str">
        <f t="shared" si="15"/>
        <v/>
      </c>
      <c r="AP50" s="427">
        <f t="shared" si="16"/>
        <v>17.068965517241381</v>
      </c>
      <c r="AQ50" s="182">
        <f t="shared" si="17"/>
        <v>0.6827586206896552</v>
      </c>
      <c r="AR50" s="176">
        <v>6</v>
      </c>
      <c r="AS50" s="181">
        <f t="shared" si="18"/>
        <v>69.905956112852664</v>
      </c>
      <c r="AT50" s="183" t="str">
        <f>IF(A50=1,IF(OR(AND(E50=1,'Ответы учащихся'!AB50=0.15),AND(E50=2,'Ответы учащихся'!AB50=-2)),1,IF('Ответы учащихся'!AB50="N",'Ответы учащихся'!AB50,0)),"")</f>
        <v/>
      </c>
      <c r="AU50" s="176" t="str">
        <f>IF(A50=1,IF(OR(AND(E50=1,'Ответы учащихся'!AC50="м/с"),AND(E50=2,'Ответы учащихся'!AC50="mV0")),1,IF('Ответы учащихся'!AB50="N",'Ответы учащихся'!AB50,0)),"")</f>
        <v/>
      </c>
      <c r="AV50" s="176" t="str">
        <f>IF(A50=1,IF(OR(AND(E50=1,'Ответы учащихся'!AD50=-6),AND(E50=2,'Ответы учащихся'!AD50=-10)),1,IF('Ответы учащихся'!AE50="N",'Ответы учащихся'!AE50,0)),"")</f>
        <v/>
      </c>
      <c r="AW50" s="176" t="str">
        <f>IF(A50=1,IF(OR(AND(E50=1,'Ответы учащихся'!AE50="Нм"),AND(E50=2,'Ответы учащихся'!AE50="Нм")),1,IF('Ответы учащихся'!AE50="N",'Ответы учащихся'!AE50,0)),"")</f>
        <v/>
      </c>
      <c r="AX50" s="176" t="str">
        <f>IF(A50=1,IF(OR(AND(E50=1,'Ответы учащихся'!AF50=250),AND(E50=2,'Ответы учащихся'!AF50=500)),1,IF('Ответы учащихся'!AF50="N",'Ответы учащихся'!AF50,0)),"")</f>
        <v/>
      </c>
      <c r="AY50" s="176" t="str">
        <f>IF(A50=1,IF(OR(AND(E50=1,'Ответы учащихся'!AG50="м"),AND(E50=2,'Ответы учащихся'!AG50="Па")),1,IF('Ответы учащихся'!AF50="N",'Ответы учащихся'!AF50,0)),"")</f>
        <v/>
      </c>
      <c r="AZ50" s="177" t="str">
        <f>IF(E50=1,(IF('Ответы учащихся'!N50=3,1,IF('Ответы учащихся'!N50="N",'Ответы учащихся'!N50,0))),"")</f>
        <v/>
      </c>
      <c r="BA50" s="178" t="str">
        <f>IF(E50=2,IF('Ответы учащихся'!N50=1,1,(IF('Ответы учащихся'!N50="N",'Ответы учащихся'!N50,0))),"")</f>
        <v/>
      </c>
      <c r="BB50" s="179" t="str">
        <f>IF(E50=1,IF('Ответы учащихся'!O50=3,1,IF('Ответы учащихся'!O50="N",'Ответы учащихся'!O50,0)),"")</f>
        <v/>
      </c>
      <c r="BC50" s="178" t="str">
        <f>IF(E50=2,IF('Ответы учащихся'!O50=2,1,IF('Ответы учащихся'!O50="N",'Ответы учащихся'!O50,0)),"")</f>
        <v/>
      </c>
      <c r="BD50" s="179" t="str">
        <f>IF(E50=1,IF('Ответы учащихся'!P50=1,1,IF('Ответы учащихся'!P50="N",'Ответы учащихся'!P50,0)),"")</f>
        <v/>
      </c>
      <c r="BE50" s="178" t="str">
        <f>IF(E50=2,IF('Ответы учащихся'!P50=1,1,IF('Ответы учащихся'!P50="N",'Ответы учащихся'!P50,0)),"")</f>
        <v/>
      </c>
      <c r="BF50" s="176"/>
      <c r="BG50" s="176"/>
      <c r="BH50" s="176"/>
      <c r="BI50" s="176"/>
      <c r="BJ50" s="6"/>
      <c r="BK50" s="6"/>
      <c r="BL50" s="6"/>
      <c r="BM50" s="6"/>
      <c r="BN50" s="6"/>
      <c r="BO50" s="6"/>
    </row>
    <row r="51" spans="1:87" ht="12.75" customHeight="1">
      <c r="A51" s="12">
        <f>IF('СПИСОК КЛАССА'!J51&gt;0,1,0)</f>
        <v>0</v>
      </c>
      <c r="B51" s="313">
        <v>32</v>
      </c>
      <c r="C51" s="314" t="str">
        <f>IF(NOT(ISBLANK('СПИСОК КЛАССА'!C51)),'СПИСОК КЛАССА'!C51,"")</f>
        <v/>
      </c>
      <c r="D51" s="314" t="str">
        <f>IF(NOT(ISBLANK('СПИСОК КЛАССА'!D51)),IF($A51=1,'СПИСОК КЛАССА'!D51, "УЧЕНИК НЕ ВЫПОЛНЯЛ РАБОТУ"),"")</f>
        <v/>
      </c>
      <c r="E51" s="287" t="str">
        <f>IF($C51&lt;&gt;"",'СПИСОК КЛАССА'!J51,"")</f>
        <v/>
      </c>
      <c r="F51" s="441" t="str">
        <f>IF(AND(OR($C51&lt;&gt;"",$D51&lt;&gt;""),$A51=1,$AJ$6="ДА"),(IF(A51=1,IF(OR(AND(E51=1,'Ответы учащихся'!E51=1),AND(E51=2,'Ответы учащихся'!E51=3)),1,IF('Ответы учащихся'!E51="N",'Ответы учащихся'!E51,0)),"")),"")</f>
        <v/>
      </c>
      <c r="G51" s="442" t="str">
        <f>IF(AND(OR($C51&lt;&gt;"",$D51&lt;&gt;""),$A51=1,$AJ$6="ДА"),(IF(A51=1,IF(OR(AND(E51=1,'Ответы учащихся'!F51=2),AND(E51=2,'Ответы учащихся'!F51=3)),1,IF('Ответы учащихся'!F51="N",'Ответы учащихся'!F51,0)),"")),"")</f>
        <v/>
      </c>
      <c r="H51" s="304" t="str">
        <f>IF(AND(OR($C51&lt;&gt;"",$D51&lt;&gt;""),$A51=1,$AJ$6="ДА"),IF(A51=1,IF(OR(AND(E51=1,'Ответы учащихся'!G51="GIRL"),AND(E51=2,'Ответы учащихся'!G51="YEARS")),1,IF('Ответы учащихся'!G51="N",'Ответы учащихся'!G51,0)),""),"")</f>
        <v/>
      </c>
      <c r="I51" s="98" t="str">
        <f>IF(AND(OR($C51&lt;&gt;"",$D51&lt;&gt;""),$A51=1,$AJ$6="ДА"),IF(A51=1,IF(OR(AND(E51=1,'Ответы учащихся'!H51="SHOUTED"),AND(E51=2,'Ответы учащихся'!H51="HER")),1,IF('Ответы учащихся'!H51="N",'Ответы учащихся'!H51,0)),""),"")</f>
        <v/>
      </c>
      <c r="J51" s="98" t="str">
        <f>IF(AND(OR($C51&lt;&gt;"",$D51&lt;&gt;""),$A51=1,$AJ$6="ДА"),IF(A51=1,IF(OR(AND(E51=1,'Ответы учащихся'!I51="ZOO"),AND(E51=2,'Ответы учащихся'!I51="HUSBAND")),1,IF('Ответы учащихся'!I51="N",'Ответы учащихся'!I51,0)),""),"")</f>
        <v/>
      </c>
      <c r="K51" s="98" t="str">
        <f>IF(AND(OR($C51&lt;&gt;"",$D51&lt;&gt;""),$A51=1,$AJ$6="ДА"),IF(A51=1,IF(OR(AND(E51=1,'Ответы учащихся'!J51="AT"),AND(E51=2,'Ответы учащихся'!J51="LIVE")),1,IF('Ответы учащихся'!J51="N",'Ответы учащихся'!J51,0)),""),"")</f>
        <v/>
      </c>
      <c r="L51" s="98" t="str">
        <f>IF(AND(OR($C51&lt;&gt;"",$D51&lt;&gt;""),$A51=1,$AJ$6="ДА"),IF(A51=1,IF(OR(AND(E51=1,'Ответы учащихся'!K51="SAID"),AND(E51=2,'Ответы учащихся'!K51="MUCH")),1,IF('Ответы учащихся'!K51="N",'Ответы учащихся'!K51,0)),""),"")</f>
        <v/>
      </c>
      <c r="M51" s="98" t="str">
        <f>IF(AND(OR($C51&lt;&gt;"",$D51&lt;&gt;""),$A51=1,$AJ$6="ДА"),IF(A51=1,IF(OR(AND(E51=1,'Ответы учащихся'!L51="MORNING"),AND(E51=2,'Ответы учащихся'!L51="SHEEP")),1,IF('Ответы учащихся'!L51="N",'Ответы учащихся'!L51,0)),""),"")</f>
        <v/>
      </c>
      <c r="N51" s="98" t="str">
        <f>IF(AND(OR($C51&lt;&gt;"",$D51&lt;&gt;""),$A51=1,$AJ$6="ДА"),IF(A51=1,IF(OR(AND(E51=1,'Ответы учащихся'!M51="MUCH"),AND(E51=2,'Ответы учащихся'!M51="SELL")),1,IF('Ответы учащихся'!M51="N",'Ответы учащихся'!M51,0)),""),"")</f>
        <v/>
      </c>
      <c r="O51" s="131" t="str">
        <f>IF(AND(OR($C51&lt;&gt;"",$D51&lt;&gt;""),$A51=1,$AJ$6="ДА"),IF(A51=1,IF(OR(AND(E51=1,'Ответы учащихся'!N51="LIKE"),AND(E51=2,'Ответы учащихся'!N51="IN")),1,IF('Ответы учащихся'!N51="N",'Ответы учащихся'!N51,0)),""),"")</f>
        <v/>
      </c>
      <c r="P51" s="98" t="str">
        <f>IF(AND(OR($C51&lt;&gt;"",$D51&lt;&gt;""),$A51=1,$AJ$6="ДА"),IF(A51=1,IF(OR(AND(E51=1,'Ответы учащихся'!O51="ANIMALS"),AND(E51=2,'Ответы учащихся'!O51="CLOTHES")),1,IF('Ответы учащихся'!O51="N",'Ответы учащихся'!O51,0)),""),"")</f>
        <v/>
      </c>
      <c r="Q51" s="98" t="str">
        <f>IF(AND(OR($C51&lt;&gt;"",$D51&lt;&gt;""),$A51=1,$AJ$6="ДА"),IF(A51=1,IF(OR(AND(E51=1,'Ответы учащихся'!P51="WE"),AND(E51=2,'Ответы учащихся'!P51="GOES")),1,IF('Ответы учащихся'!P51="N",'Ответы учащихся'!P51,0)),""),"")</f>
        <v/>
      </c>
      <c r="R51" s="98" t="str">
        <f>IF(AND(OR($C51&lt;&gt;"",$D51&lt;&gt;""),$A51=1,$AJ$6="ДА"),IF(A51=1,IF(OR(AND(E51=1,'Ответы учащихся'!Q51="ASKED"),AND(E51=2,'Ответы учащихся'!Q51="MADE")),1,IF('Ответы учащихся'!Q51="N",'Ответы учащихся'!Q51,0)),""),"")</f>
        <v/>
      </c>
      <c r="S51" s="98" t="str">
        <f>IF(AND(OR($C51&lt;&gt;"",$D51&lt;&gt;""),$A51=1,$AJ$6="ДА"),IF(A51=1,IF(OR(AND(E51=1,'Ответы учащихся'!R51="LOST"),AND(E51=2,'Ответы учащихся'!R51="GOT")),1,IF('Ответы учащихся'!R51="N",'Ответы учащихся'!R51,0)),""),"")</f>
        <v/>
      </c>
      <c r="T51" s="98" t="str">
        <f>IF(AND(OR($C51&lt;&gt;"",$D51&lt;&gt;""),$A51=1,$AJ$6="ДА"),IF(A51=1,IF(OR(AND(E51=1,'Ответы учащихся'!S51="GOT"),AND(E51=2,'Ответы учащихся'!S51="CAME")),1,IF('Ответы учащихся'!S51="N",'Ответы учащихся'!S51,0)),""),"")</f>
        <v/>
      </c>
      <c r="U51" s="98" t="str">
        <f>IF(AND(OR($C51&lt;&gt;"",$D51&lt;&gt;""),$A51=1,$AJ$6="ДА"),IF(A51=1,IF(OR(AND(E51=1,'Ответы учащихся'!T51="SAW"),AND(E51=2,'Ответы учащихся'!T51="OPENED")),1,IF('Ответы учащихся'!T51="N",'Ответы учащихся'!T51,0)),""),"")</f>
        <v/>
      </c>
      <c r="V51" s="98" t="str">
        <f>IF(AND(OR($C51&lt;&gt;"",$D51&lt;&gt;""),$A51=1,$AJ$6="ДА"),IF(A51=1,IF(OR(AND(E51=1,'Ответы учащихся'!U51="WAS"),AND(E51=2,'Ответы учащихся'!U51="TRIED")),1,IF('Ответы учащихся'!U51="N",'Ответы учащихся'!U51,0)),""),"")</f>
        <v/>
      </c>
      <c r="W51" s="98" t="str">
        <f>IF(AND(OR($C51&lt;&gt;"",$D51&lt;&gt;""),$A51=1,$AJ$6="ДА"),IF(A51=1,IF(OR(AND(E51=1,'Ответы учащихся'!V51="KNEW"),AND(E51=2,'Ответы учащихся'!V51="SAW")),1,IF('Ответы учащихся'!V51="N",'Ответы учащихся'!V51,0)),""),"")</f>
        <v/>
      </c>
      <c r="X51" s="98" t="str">
        <f>IF(AND(OR($C51&lt;&gt;"",$D51&lt;&gt;""),$A51=1,$AJ$6="ДА"),IF(A51=1,IF(OR(AND(E51=1,'Ответы учащихся'!W51="BROKE"),AND(E51=2,'Ответы учащихся'!W51="WENT")),1,IF('Ответы учащихся'!W51="N",'Ответы учащихся'!W51,0)),""),"")</f>
        <v/>
      </c>
      <c r="Y51" s="98" t="str">
        <f>IF(AND(OR($C51&lt;&gt;"",$D51&lt;&gt;""),$A51=1,$AJ$6="ДА"),IF(A51=1,IF(OR(AND(E51=1,'Ответы учащихся'!X51="CAME"),AND(E51=2,'Ответы учащихся'!X51="BEGAN")),1,IF('Ответы учащихся'!X51="N",'Ответы учащихся'!X51,0)),""),"")</f>
        <v/>
      </c>
      <c r="Z51" s="98" t="str">
        <f>IF(AND(OR($C51&lt;&gt;"",$D51&lt;&gt;""),$A51=1,$AJ$6="ДА"),IF(A51=1,IF(OR(AND(E51=1,'Ответы учащихся'!Y51="RODE"),AND(E51=2,'Ответы учащихся'!Y51="PUT")),1,IF('Ответы учащихся'!Y51="N",'Ответы учащихся'!Y51,0)),""),"")</f>
        <v/>
      </c>
      <c r="AA51" s="305" t="str">
        <f>IF(AND(OR($C51&lt;&gt;"",$D51&lt;&gt;""),$A51=1,$AJ$6="ДА"),IF(A51=1,IF(OR(AND(E51=1,'Ответы учащихся'!Z51="TOOK"),AND(E51=2,'Ответы учащихся'!Z51="LEFT")),1,IF('Ответы учащихся'!Z51="N",'Ответы учащихся'!Z51,0)),""),"")</f>
        <v/>
      </c>
      <c r="AB51" s="477" t="str">
        <f>IF(AND(OR($C51&lt;&gt;"",$D51&lt;&gt;""),$A51=1,$AJ$6="ДА"),IF(OR('Ответы учащихся'!AA51="N",'Ответы учащихся'!AL51="N"),"N",('Ответы учащихся'!AA51+'Ответы учащихся'!AL51)),"")</f>
        <v/>
      </c>
      <c r="AC51" s="310" t="b">
        <f t="shared" si="5"/>
        <v>0</v>
      </c>
      <c r="AD51" s="274" t="b">
        <f t="shared" si="6"/>
        <v>0</v>
      </c>
      <c r="AE51" s="274" t="b">
        <f t="shared" si="7"/>
        <v>0</v>
      </c>
      <c r="AF51" s="274" t="b">
        <f t="shared" si="8"/>
        <v>0</v>
      </c>
      <c r="AG51" s="274" t="b">
        <f>IF(OR('Ответы учащихся'!AA51="N",'Ответы учащихся'!AL51="N"),1)</f>
        <v>0</v>
      </c>
      <c r="AH51" s="289" t="str">
        <f>IF(AND(OR($C51&lt;&gt;"",$D51&lt;&gt;""),$A51=1,$AJ$6="ДА"),IF(A51=1,IF('Ответы учащихся'!AK51="N",'Ответы учащихся'!AK51,AF51+AG51),""),"")</f>
        <v/>
      </c>
      <c r="AI51" s="461" t="str">
        <f t="shared" si="9"/>
        <v/>
      </c>
      <c r="AJ51" s="128" t="str">
        <f t="shared" si="10"/>
        <v/>
      </c>
      <c r="AK51" s="133" t="str">
        <f t="shared" si="11"/>
        <v/>
      </c>
      <c r="AL51" s="269" t="str">
        <f t="shared" si="12"/>
        <v/>
      </c>
      <c r="AM51" s="133" t="str">
        <f t="shared" si="13"/>
        <v/>
      </c>
      <c r="AN51" s="269" t="str">
        <f t="shared" si="14"/>
        <v/>
      </c>
      <c r="AO51" s="435" t="str">
        <f t="shared" si="15"/>
        <v/>
      </c>
      <c r="AP51" s="427">
        <f t="shared" si="16"/>
        <v>17.068965517241381</v>
      </c>
      <c r="AQ51" s="182">
        <f t="shared" si="17"/>
        <v>0.6827586206896552</v>
      </c>
      <c r="AR51" s="176">
        <v>6</v>
      </c>
      <c r="AS51" s="181">
        <f t="shared" si="18"/>
        <v>69.905956112852664</v>
      </c>
      <c r="AT51" s="183" t="str">
        <f>IF(A51=1,IF(OR(AND(E51=1,'Ответы учащихся'!AB51=0.15),AND(E51=2,'Ответы учащихся'!AB51=-2)),1,IF('Ответы учащихся'!AB51="N",'Ответы учащихся'!AB51,0)),"")</f>
        <v/>
      </c>
      <c r="AU51" s="176" t="str">
        <f>IF(A51=1,IF(OR(AND(E51=1,'Ответы учащихся'!AC51="м/с"),AND(E51=2,'Ответы учащихся'!AC51="mV0")),1,IF('Ответы учащихся'!AB51="N",'Ответы учащихся'!AB51,0)),"")</f>
        <v/>
      </c>
      <c r="AV51" s="176" t="str">
        <f>IF(A51=1,IF(OR(AND(E51=1,'Ответы учащихся'!AD51=-6),AND(E51=2,'Ответы учащихся'!AD51=-10)),1,IF('Ответы учащихся'!AE51="N",'Ответы учащихся'!AE51,0)),"")</f>
        <v/>
      </c>
      <c r="AW51" s="176" t="str">
        <f>IF(A51=1,IF(OR(AND(E51=1,'Ответы учащихся'!AE51="Нм"),AND(E51=2,'Ответы учащихся'!AE51="Нм")),1,IF('Ответы учащихся'!AE51="N",'Ответы учащихся'!AE51,0)),"")</f>
        <v/>
      </c>
      <c r="AX51" s="176" t="str">
        <f>IF(A51=1,IF(OR(AND(E51=1,'Ответы учащихся'!AF51=250),AND(E51=2,'Ответы учащихся'!AF51=500)),1,IF('Ответы учащихся'!AF51="N",'Ответы учащихся'!AF51,0)),"")</f>
        <v/>
      </c>
      <c r="AY51" s="176" t="str">
        <f>IF(A51=1,IF(OR(AND(E51=1,'Ответы учащихся'!AG51="м"),AND(E51=2,'Ответы учащихся'!AG51="Па")),1,IF('Ответы учащихся'!AF51="N",'Ответы учащихся'!AF51,0)),"")</f>
        <v/>
      </c>
      <c r="AZ51" s="177" t="str">
        <f>IF(E51=1,(IF('Ответы учащихся'!N51=3,1,IF('Ответы учащихся'!N51="N",'Ответы учащихся'!N51,0))),"")</f>
        <v/>
      </c>
      <c r="BA51" s="178" t="str">
        <f>IF(E51=2,IF('Ответы учащихся'!N51=1,1,(IF('Ответы учащихся'!N51="N",'Ответы учащихся'!N51,0))),"")</f>
        <v/>
      </c>
      <c r="BB51" s="179" t="str">
        <f>IF(E51=1,IF('Ответы учащихся'!O51=3,1,IF('Ответы учащихся'!O51="N",'Ответы учащихся'!O51,0)),"")</f>
        <v/>
      </c>
      <c r="BC51" s="178" t="str">
        <f>IF(E51=2,IF('Ответы учащихся'!O51=2,1,IF('Ответы учащихся'!O51="N",'Ответы учащихся'!O51,0)),"")</f>
        <v/>
      </c>
      <c r="BD51" s="179" t="str">
        <f>IF(E51=1,IF('Ответы учащихся'!P51=1,1,IF('Ответы учащихся'!P51="N",'Ответы учащихся'!P51,0)),"")</f>
        <v/>
      </c>
      <c r="BE51" s="178" t="str">
        <f>IF(E51=2,IF('Ответы учащихся'!P51=1,1,IF('Ответы учащихся'!P51="N",'Ответы учащихся'!P51,0)),"")</f>
        <v/>
      </c>
      <c r="BF51" s="176"/>
      <c r="BG51" s="176"/>
      <c r="BH51" s="176"/>
      <c r="BI51" s="176"/>
      <c r="BJ51" s="6"/>
      <c r="BK51" s="6"/>
      <c r="BL51" s="6"/>
      <c r="BM51" s="6"/>
      <c r="BN51" s="6"/>
      <c r="BO51" s="6"/>
    </row>
    <row r="52" spans="1:87" ht="12.75" customHeight="1">
      <c r="A52" s="12">
        <f>IF('СПИСОК КЛАССА'!J52&gt;0,1,0)</f>
        <v>0</v>
      </c>
      <c r="B52" s="313">
        <v>33</v>
      </c>
      <c r="C52" s="314" t="str">
        <f>IF(NOT(ISBLANK('СПИСОК КЛАССА'!C52)),'СПИСОК КЛАССА'!C52,"")</f>
        <v/>
      </c>
      <c r="D52" s="314" t="str">
        <f>IF(NOT(ISBLANK('СПИСОК КЛАССА'!D52)),IF($A52=1,'СПИСОК КЛАССА'!D52, "УЧЕНИК НЕ ВЫПОЛНЯЛ РАБОТУ"),"")</f>
        <v/>
      </c>
      <c r="E52" s="287" t="str">
        <f>IF($C52&lt;&gt;"",'СПИСОК КЛАССА'!J52,"")</f>
        <v/>
      </c>
      <c r="F52" s="441" t="str">
        <f>IF(AND(OR($C52&lt;&gt;"",$D52&lt;&gt;""),$A52=1,$AJ$6="ДА"),(IF(A52=1,IF(OR(AND(E52=1,'Ответы учащихся'!E52=1),AND(E52=2,'Ответы учащихся'!E52=3)),1,IF('Ответы учащихся'!E52="N",'Ответы учащихся'!E52,0)),"")),"")</f>
        <v/>
      </c>
      <c r="G52" s="442" t="str">
        <f>IF(AND(OR($C52&lt;&gt;"",$D52&lt;&gt;""),$A52=1,$AJ$6="ДА"),(IF(A52=1,IF(OR(AND(E52=1,'Ответы учащихся'!F52=2),AND(E52=2,'Ответы учащихся'!F52=3)),1,IF('Ответы учащихся'!F52="N",'Ответы учащихся'!F52,0)),"")),"")</f>
        <v/>
      </c>
      <c r="H52" s="304" t="str">
        <f>IF(AND(OR($C52&lt;&gt;"",$D52&lt;&gt;""),$A52=1,$AJ$6="ДА"),IF(A52=1,IF(OR(AND(E52=1,'Ответы учащихся'!G52="GIRL"),AND(E52=2,'Ответы учащихся'!G52="YEARS")),1,IF('Ответы учащихся'!G52="N",'Ответы учащихся'!G52,0)),""),"")</f>
        <v/>
      </c>
      <c r="I52" s="98" t="str">
        <f>IF(AND(OR($C52&lt;&gt;"",$D52&lt;&gt;""),$A52=1,$AJ$6="ДА"),IF(A52=1,IF(OR(AND(E52=1,'Ответы учащихся'!H52="SHOUTED"),AND(E52=2,'Ответы учащихся'!H52="HER")),1,IF('Ответы учащихся'!H52="N",'Ответы учащихся'!H52,0)),""),"")</f>
        <v/>
      </c>
      <c r="J52" s="98" t="str">
        <f>IF(AND(OR($C52&lt;&gt;"",$D52&lt;&gt;""),$A52=1,$AJ$6="ДА"),IF(A52=1,IF(OR(AND(E52=1,'Ответы учащихся'!I52="ZOO"),AND(E52=2,'Ответы учащихся'!I52="HUSBAND")),1,IF('Ответы учащихся'!I52="N",'Ответы учащихся'!I52,0)),""),"")</f>
        <v/>
      </c>
      <c r="K52" s="98" t="str">
        <f>IF(AND(OR($C52&lt;&gt;"",$D52&lt;&gt;""),$A52=1,$AJ$6="ДА"),IF(A52=1,IF(OR(AND(E52=1,'Ответы учащихся'!J52="AT"),AND(E52=2,'Ответы учащихся'!J52="LIVE")),1,IF('Ответы учащихся'!J52="N",'Ответы учащихся'!J52,0)),""),"")</f>
        <v/>
      </c>
      <c r="L52" s="98" t="str">
        <f>IF(AND(OR($C52&lt;&gt;"",$D52&lt;&gt;""),$A52=1,$AJ$6="ДА"),IF(A52=1,IF(OR(AND(E52=1,'Ответы учащихся'!K52="SAID"),AND(E52=2,'Ответы учащихся'!K52="MUCH")),1,IF('Ответы учащихся'!K52="N",'Ответы учащихся'!K52,0)),""),"")</f>
        <v/>
      </c>
      <c r="M52" s="98" t="str">
        <f>IF(AND(OR($C52&lt;&gt;"",$D52&lt;&gt;""),$A52=1,$AJ$6="ДА"),IF(A52=1,IF(OR(AND(E52=1,'Ответы учащихся'!L52="MORNING"),AND(E52=2,'Ответы учащихся'!L52="SHEEP")),1,IF('Ответы учащихся'!L52="N",'Ответы учащихся'!L52,0)),""),"")</f>
        <v/>
      </c>
      <c r="N52" s="98" t="str">
        <f>IF(AND(OR($C52&lt;&gt;"",$D52&lt;&gt;""),$A52=1,$AJ$6="ДА"),IF(A52=1,IF(OR(AND(E52=1,'Ответы учащихся'!M52="MUCH"),AND(E52=2,'Ответы учащихся'!M52="SELL")),1,IF('Ответы учащихся'!M52="N",'Ответы учащихся'!M52,0)),""),"")</f>
        <v/>
      </c>
      <c r="O52" s="131" t="str">
        <f>IF(AND(OR($C52&lt;&gt;"",$D52&lt;&gt;""),$A52=1,$AJ$6="ДА"),IF(A52=1,IF(OR(AND(E52=1,'Ответы учащихся'!N52="LIKE"),AND(E52=2,'Ответы учащихся'!N52="IN")),1,IF('Ответы учащихся'!N52="N",'Ответы учащихся'!N52,0)),""),"")</f>
        <v/>
      </c>
      <c r="P52" s="98" t="str">
        <f>IF(AND(OR($C52&lt;&gt;"",$D52&lt;&gt;""),$A52=1,$AJ$6="ДА"),IF(A52=1,IF(OR(AND(E52=1,'Ответы учащихся'!O52="ANIMALS"),AND(E52=2,'Ответы учащихся'!O52="CLOTHES")),1,IF('Ответы учащихся'!O52="N",'Ответы учащихся'!O52,0)),""),"")</f>
        <v/>
      </c>
      <c r="Q52" s="98" t="str">
        <f>IF(AND(OR($C52&lt;&gt;"",$D52&lt;&gt;""),$A52=1,$AJ$6="ДА"),IF(A52=1,IF(OR(AND(E52=1,'Ответы учащихся'!P52="WE"),AND(E52=2,'Ответы учащихся'!P52="GOES")),1,IF('Ответы учащихся'!P52="N",'Ответы учащихся'!P52,0)),""),"")</f>
        <v/>
      </c>
      <c r="R52" s="98" t="str">
        <f>IF(AND(OR($C52&lt;&gt;"",$D52&lt;&gt;""),$A52=1,$AJ$6="ДА"),IF(A52=1,IF(OR(AND(E52=1,'Ответы учащихся'!Q52="ASKED"),AND(E52=2,'Ответы учащихся'!Q52="MADE")),1,IF('Ответы учащихся'!Q52="N",'Ответы учащихся'!Q52,0)),""),"")</f>
        <v/>
      </c>
      <c r="S52" s="98" t="str">
        <f>IF(AND(OR($C52&lt;&gt;"",$D52&lt;&gt;""),$A52=1,$AJ$6="ДА"),IF(A52=1,IF(OR(AND(E52=1,'Ответы учащихся'!R52="LOST"),AND(E52=2,'Ответы учащихся'!R52="GOT")),1,IF('Ответы учащихся'!R52="N",'Ответы учащихся'!R52,0)),""),"")</f>
        <v/>
      </c>
      <c r="T52" s="98" t="str">
        <f>IF(AND(OR($C52&lt;&gt;"",$D52&lt;&gt;""),$A52=1,$AJ$6="ДА"),IF(A52=1,IF(OR(AND(E52=1,'Ответы учащихся'!S52="GOT"),AND(E52=2,'Ответы учащихся'!S52="CAME")),1,IF('Ответы учащихся'!S52="N",'Ответы учащихся'!S52,0)),""),"")</f>
        <v/>
      </c>
      <c r="U52" s="98" t="str">
        <f>IF(AND(OR($C52&lt;&gt;"",$D52&lt;&gt;""),$A52=1,$AJ$6="ДА"),IF(A52=1,IF(OR(AND(E52=1,'Ответы учащихся'!T52="SAW"),AND(E52=2,'Ответы учащихся'!T52="OPENED")),1,IF('Ответы учащихся'!T52="N",'Ответы учащихся'!T52,0)),""),"")</f>
        <v/>
      </c>
      <c r="V52" s="98" t="str">
        <f>IF(AND(OR($C52&lt;&gt;"",$D52&lt;&gt;""),$A52=1,$AJ$6="ДА"),IF(A52=1,IF(OR(AND(E52=1,'Ответы учащихся'!U52="WAS"),AND(E52=2,'Ответы учащихся'!U52="TRIED")),1,IF('Ответы учащихся'!U52="N",'Ответы учащихся'!U52,0)),""),"")</f>
        <v/>
      </c>
      <c r="W52" s="98" t="str">
        <f>IF(AND(OR($C52&lt;&gt;"",$D52&lt;&gt;""),$A52=1,$AJ$6="ДА"),IF(A52=1,IF(OR(AND(E52=1,'Ответы учащихся'!V52="KNEW"),AND(E52=2,'Ответы учащихся'!V52="SAW")),1,IF('Ответы учащихся'!V52="N",'Ответы учащихся'!V52,0)),""),"")</f>
        <v/>
      </c>
      <c r="X52" s="98" t="str">
        <f>IF(AND(OR($C52&lt;&gt;"",$D52&lt;&gt;""),$A52=1,$AJ$6="ДА"),IF(A52=1,IF(OR(AND(E52=1,'Ответы учащихся'!W52="BROKE"),AND(E52=2,'Ответы учащихся'!W52="WENT")),1,IF('Ответы учащихся'!W52="N",'Ответы учащихся'!W52,0)),""),"")</f>
        <v/>
      </c>
      <c r="Y52" s="98" t="str">
        <f>IF(AND(OR($C52&lt;&gt;"",$D52&lt;&gt;""),$A52=1,$AJ$6="ДА"),IF(A52=1,IF(OR(AND(E52=1,'Ответы учащихся'!X52="CAME"),AND(E52=2,'Ответы учащихся'!X52="BEGAN")),1,IF('Ответы учащихся'!X52="N",'Ответы учащихся'!X52,0)),""),"")</f>
        <v/>
      </c>
      <c r="Z52" s="98" t="str">
        <f>IF(AND(OR($C52&lt;&gt;"",$D52&lt;&gt;""),$A52=1,$AJ$6="ДА"),IF(A52=1,IF(OR(AND(E52=1,'Ответы учащихся'!Y52="RODE"),AND(E52=2,'Ответы учащихся'!Y52="PUT")),1,IF('Ответы учащихся'!Y52="N",'Ответы учащихся'!Y52,0)),""),"")</f>
        <v/>
      </c>
      <c r="AA52" s="305" t="str">
        <f>IF(AND(OR($C52&lt;&gt;"",$D52&lt;&gt;""),$A52=1,$AJ$6="ДА"),IF(A52=1,IF(OR(AND(E52=1,'Ответы учащихся'!Z52="TOOK"),AND(E52=2,'Ответы учащихся'!Z52="LEFT")),1,IF('Ответы учащихся'!Z52="N",'Ответы учащихся'!Z52,0)),""),"")</f>
        <v/>
      </c>
      <c r="AB52" s="477" t="str">
        <f>IF(AND(OR($C52&lt;&gt;"",$D52&lt;&gt;""),$A52=1,$AJ$6="ДА"),IF(OR('Ответы учащихся'!AA52="N",'Ответы учащихся'!AL52="N"),"N",('Ответы учащихся'!AA52+'Ответы учащихся'!AL52)),"")</f>
        <v/>
      </c>
      <c r="AC52" s="310" t="b">
        <f t="shared" si="5"/>
        <v>0</v>
      </c>
      <c r="AD52" s="274" t="b">
        <f t="shared" si="6"/>
        <v>0</v>
      </c>
      <c r="AE52" s="274" t="b">
        <f t="shared" si="7"/>
        <v>0</v>
      </c>
      <c r="AF52" s="274" t="b">
        <f t="shared" si="8"/>
        <v>0</v>
      </c>
      <c r="AG52" s="274" t="b">
        <f>IF(OR('Ответы учащихся'!AA52="N",'Ответы учащихся'!AL52="N"),1)</f>
        <v>0</v>
      </c>
      <c r="AH52" s="289" t="str">
        <f>IF(AND(OR($C52&lt;&gt;"",$D52&lt;&gt;""),$A52=1,$AJ$6="ДА"),IF(A52=1,IF('Ответы учащихся'!AK52="N",'Ответы учащихся'!AK52,AF52+AG52),""),"")</f>
        <v/>
      </c>
      <c r="AI52" s="461" t="str">
        <f t="shared" si="9"/>
        <v/>
      </c>
      <c r="AJ52" s="128" t="str">
        <f t="shared" si="10"/>
        <v/>
      </c>
      <c r="AK52" s="133" t="str">
        <f t="shared" si="11"/>
        <v/>
      </c>
      <c r="AL52" s="269" t="str">
        <f t="shared" si="12"/>
        <v/>
      </c>
      <c r="AM52" s="133" t="str">
        <f t="shared" si="13"/>
        <v/>
      </c>
      <c r="AN52" s="269" t="str">
        <f t="shared" si="14"/>
        <v/>
      </c>
      <c r="AO52" s="435" t="str">
        <f t="shared" si="15"/>
        <v/>
      </c>
      <c r="AP52" s="427">
        <f t="shared" si="16"/>
        <v>17.068965517241381</v>
      </c>
      <c r="AQ52" s="182">
        <f t="shared" si="17"/>
        <v>0.6827586206896552</v>
      </c>
      <c r="AR52" s="176">
        <v>6</v>
      </c>
      <c r="AS52" s="181">
        <f t="shared" si="18"/>
        <v>69.905956112852664</v>
      </c>
      <c r="AT52" s="183" t="str">
        <f>IF(A52=1,IF(OR(AND(E52=1,'Ответы учащихся'!AB52=0.15),AND(E52=2,'Ответы учащихся'!AB52=-2)),1,IF('Ответы учащихся'!AB52="N",'Ответы учащихся'!AB52,0)),"")</f>
        <v/>
      </c>
      <c r="AU52" s="176" t="str">
        <f>IF(A52=1,IF(OR(AND(E52=1,'Ответы учащихся'!AC52="м/с"),AND(E52=2,'Ответы учащихся'!AC52="mV0")),1,IF('Ответы учащихся'!AB52="N",'Ответы учащихся'!AB52,0)),"")</f>
        <v/>
      </c>
      <c r="AV52" s="176" t="str">
        <f>IF(A52=1,IF(OR(AND(E52=1,'Ответы учащихся'!AD52=-6),AND(E52=2,'Ответы учащихся'!AD52=-10)),1,IF('Ответы учащихся'!AE52="N",'Ответы учащихся'!AE52,0)),"")</f>
        <v/>
      </c>
      <c r="AW52" s="176" t="str">
        <f>IF(A52=1,IF(OR(AND(E52=1,'Ответы учащихся'!AE52="Нм"),AND(E52=2,'Ответы учащихся'!AE52="Нм")),1,IF('Ответы учащихся'!AE52="N",'Ответы учащихся'!AE52,0)),"")</f>
        <v/>
      </c>
      <c r="AX52" s="176" t="str">
        <f>IF(A52=1,IF(OR(AND(E52=1,'Ответы учащихся'!AF52=250),AND(E52=2,'Ответы учащихся'!AF52=500)),1,IF('Ответы учащихся'!AF52="N",'Ответы учащихся'!AF52,0)),"")</f>
        <v/>
      </c>
      <c r="AY52" s="176" t="str">
        <f>IF(A52=1,IF(OR(AND(E52=1,'Ответы учащихся'!AG52="м"),AND(E52=2,'Ответы учащихся'!AG52="Па")),1,IF('Ответы учащихся'!AF52="N",'Ответы учащихся'!AF52,0)),"")</f>
        <v/>
      </c>
      <c r="AZ52" s="177" t="str">
        <f>IF(E52=1,(IF('Ответы учащихся'!N52=3,1,IF('Ответы учащихся'!N52="N",'Ответы учащихся'!N52,0))),"")</f>
        <v/>
      </c>
      <c r="BA52" s="178" t="str">
        <f>IF(E52=2,IF('Ответы учащихся'!N52=1,1,(IF('Ответы учащихся'!N52="N",'Ответы учащихся'!N52,0))),"")</f>
        <v/>
      </c>
      <c r="BB52" s="179" t="str">
        <f>IF(E52=1,IF('Ответы учащихся'!O52=3,1,IF('Ответы учащихся'!O52="N",'Ответы учащихся'!O52,0)),"")</f>
        <v/>
      </c>
      <c r="BC52" s="178" t="str">
        <f>IF(E52=2,IF('Ответы учащихся'!O52=2,1,IF('Ответы учащихся'!O52="N",'Ответы учащихся'!O52,0)),"")</f>
        <v/>
      </c>
      <c r="BD52" s="179" t="str">
        <f>IF(E52=1,IF('Ответы учащихся'!P52=1,1,IF('Ответы учащихся'!P52="N",'Ответы учащихся'!P52,0)),"")</f>
        <v/>
      </c>
      <c r="BE52" s="178" t="str">
        <f>IF(E52=2,IF('Ответы учащихся'!P52=1,1,IF('Ответы учащихся'!P52="N",'Ответы учащихся'!P52,0)),"")</f>
        <v/>
      </c>
      <c r="BF52" s="176"/>
      <c r="BG52" s="176"/>
      <c r="BH52" s="176"/>
      <c r="BI52" s="176"/>
      <c r="BJ52" s="6"/>
      <c r="BK52" s="6"/>
      <c r="BL52" s="6"/>
      <c r="BM52" s="6"/>
      <c r="BN52" s="6"/>
      <c r="BO52" s="6"/>
    </row>
    <row r="53" spans="1:87" ht="12.75" customHeight="1">
      <c r="A53" s="12">
        <f>IF('СПИСОК КЛАССА'!J53&gt;0,1,0)</f>
        <v>0</v>
      </c>
      <c r="B53" s="313">
        <v>34</v>
      </c>
      <c r="C53" s="314" t="str">
        <f>IF(NOT(ISBLANK('СПИСОК КЛАССА'!C53)),'СПИСОК КЛАССА'!C53,"")</f>
        <v/>
      </c>
      <c r="D53" s="314" t="str">
        <f>IF(NOT(ISBLANK('СПИСОК КЛАССА'!D53)),IF($A53=1,'СПИСОК КЛАССА'!D53, "УЧЕНИК НЕ ВЫПОЛНЯЛ РАБОТУ"),"")</f>
        <v/>
      </c>
      <c r="E53" s="287" t="str">
        <f>IF($C53&lt;&gt;"",'СПИСОК КЛАССА'!J53,"")</f>
        <v/>
      </c>
      <c r="F53" s="441" t="str">
        <f>IF(AND(OR($C53&lt;&gt;"",$D53&lt;&gt;""),$A53=1,$AJ$6="ДА"),(IF(A53=1,IF(OR(AND(E53=1,'Ответы учащихся'!E53=1),AND(E53=2,'Ответы учащихся'!E53=3)),1,IF('Ответы учащихся'!E53="N",'Ответы учащихся'!E53,0)),"")),"")</f>
        <v/>
      </c>
      <c r="G53" s="442" t="str">
        <f>IF(AND(OR($C53&lt;&gt;"",$D53&lt;&gt;""),$A53=1,$AJ$6="ДА"),(IF(A53=1,IF(OR(AND(E53=1,'Ответы учащихся'!F53=2),AND(E53=2,'Ответы учащихся'!F53=3)),1,IF('Ответы учащихся'!F53="N",'Ответы учащихся'!F53,0)),"")),"")</f>
        <v/>
      </c>
      <c r="H53" s="304" t="str">
        <f>IF(AND(OR($C53&lt;&gt;"",$D53&lt;&gt;""),$A53=1,$AJ$6="ДА"),IF(A53=1,IF(OR(AND(E53=1,'Ответы учащихся'!G53="GIRL"),AND(E53=2,'Ответы учащихся'!G53="YEARS")),1,IF('Ответы учащихся'!G53="N",'Ответы учащихся'!G53,0)),""),"")</f>
        <v/>
      </c>
      <c r="I53" s="98" t="str">
        <f>IF(AND(OR($C53&lt;&gt;"",$D53&lt;&gt;""),$A53=1,$AJ$6="ДА"),IF(A53=1,IF(OR(AND(E53=1,'Ответы учащихся'!H53="SHOUTED"),AND(E53=2,'Ответы учащихся'!H53="HER")),1,IF('Ответы учащихся'!H53="N",'Ответы учащихся'!H53,0)),""),"")</f>
        <v/>
      </c>
      <c r="J53" s="98" t="str">
        <f>IF(AND(OR($C53&lt;&gt;"",$D53&lt;&gt;""),$A53=1,$AJ$6="ДА"),IF(A53=1,IF(OR(AND(E53=1,'Ответы учащихся'!I53="ZOO"),AND(E53=2,'Ответы учащихся'!I53="HUSBAND")),1,IF('Ответы учащихся'!I53="N",'Ответы учащихся'!I53,0)),""),"")</f>
        <v/>
      </c>
      <c r="K53" s="98" t="str">
        <f>IF(AND(OR($C53&lt;&gt;"",$D53&lt;&gt;""),$A53=1,$AJ$6="ДА"),IF(A53=1,IF(OR(AND(E53=1,'Ответы учащихся'!J53="AT"),AND(E53=2,'Ответы учащихся'!J53="LIVE")),1,IF('Ответы учащихся'!J53="N",'Ответы учащихся'!J53,0)),""),"")</f>
        <v/>
      </c>
      <c r="L53" s="98" t="str">
        <f>IF(AND(OR($C53&lt;&gt;"",$D53&lt;&gt;""),$A53=1,$AJ$6="ДА"),IF(A53=1,IF(OR(AND(E53=1,'Ответы учащихся'!K53="SAID"),AND(E53=2,'Ответы учащихся'!K53="MUCH")),1,IF('Ответы учащихся'!K53="N",'Ответы учащихся'!K53,0)),""),"")</f>
        <v/>
      </c>
      <c r="M53" s="98" t="str">
        <f>IF(AND(OR($C53&lt;&gt;"",$D53&lt;&gt;""),$A53=1,$AJ$6="ДА"),IF(A53=1,IF(OR(AND(E53=1,'Ответы учащихся'!L53="MORNING"),AND(E53=2,'Ответы учащихся'!L53="SHEEP")),1,IF('Ответы учащихся'!L53="N",'Ответы учащихся'!L53,0)),""),"")</f>
        <v/>
      </c>
      <c r="N53" s="98" t="str">
        <f>IF(AND(OR($C53&lt;&gt;"",$D53&lt;&gt;""),$A53=1,$AJ$6="ДА"),IF(A53=1,IF(OR(AND(E53=1,'Ответы учащихся'!M53="MUCH"),AND(E53=2,'Ответы учащихся'!M53="SELL")),1,IF('Ответы учащихся'!M53="N",'Ответы учащихся'!M53,0)),""),"")</f>
        <v/>
      </c>
      <c r="O53" s="131" t="str">
        <f>IF(AND(OR($C53&lt;&gt;"",$D53&lt;&gt;""),$A53=1,$AJ$6="ДА"),IF(A53=1,IF(OR(AND(E53=1,'Ответы учащихся'!N53="LIKE"),AND(E53=2,'Ответы учащихся'!N53="IN")),1,IF('Ответы учащихся'!N53="N",'Ответы учащихся'!N53,0)),""),"")</f>
        <v/>
      </c>
      <c r="P53" s="98" t="str">
        <f>IF(AND(OR($C53&lt;&gt;"",$D53&lt;&gt;""),$A53=1,$AJ$6="ДА"),IF(A53=1,IF(OR(AND(E53=1,'Ответы учащихся'!O53="ANIMALS"),AND(E53=2,'Ответы учащихся'!O53="CLOTHES")),1,IF('Ответы учащихся'!O53="N",'Ответы учащихся'!O53,0)),""),"")</f>
        <v/>
      </c>
      <c r="Q53" s="98" t="str">
        <f>IF(AND(OR($C53&lt;&gt;"",$D53&lt;&gt;""),$A53=1,$AJ$6="ДА"),IF(A53=1,IF(OR(AND(E53=1,'Ответы учащихся'!P53="WE"),AND(E53=2,'Ответы учащихся'!P53="GOES")),1,IF('Ответы учащихся'!P53="N",'Ответы учащихся'!P53,0)),""),"")</f>
        <v/>
      </c>
      <c r="R53" s="98" t="str">
        <f>IF(AND(OR($C53&lt;&gt;"",$D53&lt;&gt;""),$A53=1,$AJ$6="ДА"),IF(A53=1,IF(OR(AND(E53=1,'Ответы учащихся'!Q53="ASKED"),AND(E53=2,'Ответы учащихся'!Q53="MADE")),1,IF('Ответы учащихся'!Q53="N",'Ответы учащихся'!Q53,0)),""),"")</f>
        <v/>
      </c>
      <c r="S53" s="98" t="str">
        <f>IF(AND(OR($C53&lt;&gt;"",$D53&lt;&gt;""),$A53=1,$AJ$6="ДА"),IF(A53=1,IF(OR(AND(E53=1,'Ответы учащихся'!R53="LOST"),AND(E53=2,'Ответы учащихся'!R53="GOT")),1,IF('Ответы учащихся'!R53="N",'Ответы учащихся'!R53,0)),""),"")</f>
        <v/>
      </c>
      <c r="T53" s="98" t="str">
        <f>IF(AND(OR($C53&lt;&gt;"",$D53&lt;&gt;""),$A53=1,$AJ$6="ДА"),IF(A53=1,IF(OR(AND(E53=1,'Ответы учащихся'!S53="GOT"),AND(E53=2,'Ответы учащихся'!S53="CAME")),1,IF('Ответы учащихся'!S53="N",'Ответы учащихся'!S53,0)),""),"")</f>
        <v/>
      </c>
      <c r="U53" s="98" t="str">
        <f>IF(AND(OR($C53&lt;&gt;"",$D53&lt;&gt;""),$A53=1,$AJ$6="ДА"),IF(A53=1,IF(OR(AND(E53=1,'Ответы учащихся'!T53="SAW"),AND(E53=2,'Ответы учащихся'!T53="OPENED")),1,IF('Ответы учащихся'!T53="N",'Ответы учащихся'!T53,0)),""),"")</f>
        <v/>
      </c>
      <c r="V53" s="98" t="str">
        <f>IF(AND(OR($C53&lt;&gt;"",$D53&lt;&gt;""),$A53=1,$AJ$6="ДА"),IF(A53=1,IF(OR(AND(E53=1,'Ответы учащихся'!U53="WAS"),AND(E53=2,'Ответы учащихся'!U53="TRIED")),1,IF('Ответы учащихся'!U53="N",'Ответы учащихся'!U53,0)),""),"")</f>
        <v/>
      </c>
      <c r="W53" s="98" t="str">
        <f>IF(AND(OR($C53&lt;&gt;"",$D53&lt;&gt;""),$A53=1,$AJ$6="ДА"),IF(A53=1,IF(OR(AND(E53=1,'Ответы учащихся'!V53="KNEW"),AND(E53=2,'Ответы учащихся'!V53="SAW")),1,IF('Ответы учащихся'!V53="N",'Ответы учащихся'!V53,0)),""),"")</f>
        <v/>
      </c>
      <c r="X53" s="98" t="str">
        <f>IF(AND(OR($C53&lt;&gt;"",$D53&lt;&gt;""),$A53=1,$AJ$6="ДА"),IF(A53=1,IF(OR(AND(E53=1,'Ответы учащихся'!W53="BROKE"),AND(E53=2,'Ответы учащихся'!W53="WENT")),1,IF('Ответы учащихся'!W53="N",'Ответы учащихся'!W53,0)),""),"")</f>
        <v/>
      </c>
      <c r="Y53" s="98" t="str">
        <f>IF(AND(OR($C53&lt;&gt;"",$D53&lt;&gt;""),$A53=1,$AJ$6="ДА"),IF(A53=1,IF(OR(AND(E53=1,'Ответы учащихся'!X53="CAME"),AND(E53=2,'Ответы учащихся'!X53="BEGAN")),1,IF('Ответы учащихся'!X53="N",'Ответы учащихся'!X53,0)),""),"")</f>
        <v/>
      </c>
      <c r="Z53" s="98" t="str">
        <f>IF(AND(OR($C53&lt;&gt;"",$D53&lt;&gt;""),$A53=1,$AJ$6="ДА"),IF(A53=1,IF(OR(AND(E53=1,'Ответы учащихся'!Y53="RODE"),AND(E53=2,'Ответы учащихся'!Y53="PUT")),1,IF('Ответы учащихся'!Y53="N",'Ответы учащихся'!Y53,0)),""),"")</f>
        <v/>
      </c>
      <c r="AA53" s="305" t="str">
        <f>IF(AND(OR($C53&lt;&gt;"",$D53&lt;&gt;""),$A53=1,$AJ$6="ДА"),IF(A53=1,IF(OR(AND(E53=1,'Ответы учащихся'!Z53="TOOK"),AND(E53=2,'Ответы учащихся'!Z53="LEFT")),1,IF('Ответы учащихся'!Z53="N",'Ответы учащихся'!Z53,0)),""),"")</f>
        <v/>
      </c>
      <c r="AB53" s="477" t="str">
        <f>IF(AND(OR($C53&lt;&gt;"",$D53&lt;&gt;""),$A53=1,$AJ$6="ДА"),IF(OR('Ответы учащихся'!AA53="N",'Ответы учащихся'!AL53="N"),"N",('Ответы учащихся'!AA53+'Ответы учащихся'!AL53)),"")</f>
        <v/>
      </c>
      <c r="AC53" s="310" t="b">
        <f t="shared" si="5"/>
        <v>0</v>
      </c>
      <c r="AD53" s="274" t="b">
        <f t="shared" si="6"/>
        <v>0</v>
      </c>
      <c r="AE53" s="274" t="b">
        <f t="shared" si="7"/>
        <v>0</v>
      </c>
      <c r="AF53" s="274" t="b">
        <f t="shared" si="8"/>
        <v>0</v>
      </c>
      <c r="AG53" s="274" t="b">
        <f>IF(OR('Ответы учащихся'!AA53="N",'Ответы учащихся'!AL53="N"),1)</f>
        <v>0</v>
      </c>
      <c r="AH53" s="289" t="str">
        <f>IF(AND(OR($C53&lt;&gt;"",$D53&lt;&gt;""),$A53=1,$AJ$6="ДА"),IF(A53=1,IF('Ответы учащихся'!AK53="N",'Ответы учащихся'!AK53,AF53+AG53),""),"")</f>
        <v/>
      </c>
      <c r="AI53" s="461" t="str">
        <f t="shared" si="9"/>
        <v/>
      </c>
      <c r="AJ53" s="128" t="str">
        <f t="shared" si="10"/>
        <v/>
      </c>
      <c r="AK53" s="133" t="str">
        <f t="shared" si="11"/>
        <v/>
      </c>
      <c r="AL53" s="269" t="str">
        <f t="shared" si="12"/>
        <v/>
      </c>
      <c r="AM53" s="133" t="str">
        <f t="shared" si="13"/>
        <v/>
      </c>
      <c r="AN53" s="269" t="str">
        <f t="shared" si="14"/>
        <v/>
      </c>
      <c r="AO53" s="435" t="str">
        <f t="shared" si="15"/>
        <v/>
      </c>
      <c r="AP53" s="427">
        <f t="shared" si="16"/>
        <v>17.068965517241381</v>
      </c>
      <c r="AQ53" s="182">
        <f t="shared" si="17"/>
        <v>0.6827586206896552</v>
      </c>
      <c r="AR53" s="176">
        <v>6</v>
      </c>
      <c r="AS53" s="181">
        <f t="shared" si="18"/>
        <v>69.905956112852664</v>
      </c>
      <c r="AT53" s="183" t="str">
        <f>IF(A53=1,IF(OR(AND(E53=1,'Ответы учащихся'!AB53=0.15),AND(E53=2,'Ответы учащихся'!AB53=-2)),1,IF('Ответы учащихся'!AB53="N",'Ответы учащихся'!AB53,0)),"")</f>
        <v/>
      </c>
      <c r="AU53" s="176" t="str">
        <f>IF(A53=1,IF(OR(AND(E53=1,'Ответы учащихся'!AC53="м/с"),AND(E53=2,'Ответы учащихся'!AC53="mV0")),1,IF('Ответы учащихся'!AB53="N",'Ответы учащихся'!AB53,0)),"")</f>
        <v/>
      </c>
      <c r="AV53" s="176" t="str">
        <f>IF(A53=1,IF(OR(AND(E53=1,'Ответы учащихся'!AD53=-6),AND(E53=2,'Ответы учащихся'!AD53=-10)),1,IF('Ответы учащихся'!AE53="N",'Ответы учащихся'!AE53,0)),"")</f>
        <v/>
      </c>
      <c r="AW53" s="176" t="str">
        <f>IF(A53=1,IF(OR(AND(E53=1,'Ответы учащихся'!AE53="Нм"),AND(E53=2,'Ответы учащихся'!AE53="Нм")),1,IF('Ответы учащихся'!AE53="N",'Ответы учащихся'!AE53,0)),"")</f>
        <v/>
      </c>
      <c r="AX53" s="176" t="str">
        <f>IF(A53=1,IF(OR(AND(E53=1,'Ответы учащихся'!AF53=250),AND(E53=2,'Ответы учащихся'!AF53=500)),1,IF('Ответы учащихся'!AF53="N",'Ответы учащихся'!AF53,0)),"")</f>
        <v/>
      </c>
      <c r="AY53" s="176" t="str">
        <f>IF(A53=1,IF(OR(AND(E53=1,'Ответы учащихся'!AG53="м"),AND(E53=2,'Ответы учащихся'!AG53="Па")),1,IF('Ответы учащихся'!AF53="N",'Ответы учащихся'!AF53,0)),"")</f>
        <v/>
      </c>
      <c r="AZ53" s="177" t="str">
        <f>IF(E53=1,(IF('Ответы учащихся'!N53=3,1,IF('Ответы учащихся'!N53="N",'Ответы учащихся'!N53,0))),"")</f>
        <v/>
      </c>
      <c r="BA53" s="178" t="str">
        <f>IF(E53=2,IF('Ответы учащихся'!N53=1,1,(IF('Ответы учащихся'!N53="N",'Ответы учащихся'!N53,0))),"")</f>
        <v/>
      </c>
      <c r="BB53" s="179" t="str">
        <f>IF(E53=1,IF('Ответы учащихся'!O53=3,1,IF('Ответы учащихся'!O53="N",'Ответы учащихся'!O53,0)),"")</f>
        <v/>
      </c>
      <c r="BC53" s="178" t="str">
        <f>IF(E53=2,IF('Ответы учащихся'!O53=2,1,IF('Ответы учащихся'!O53="N",'Ответы учащихся'!O53,0)),"")</f>
        <v/>
      </c>
      <c r="BD53" s="179" t="str">
        <f>IF(E53=1,IF('Ответы учащихся'!P53=1,1,IF('Ответы учащихся'!P53="N",'Ответы учащихся'!P53,0)),"")</f>
        <v/>
      </c>
      <c r="BE53" s="178" t="str">
        <f>IF(E53=2,IF('Ответы учащихся'!P53=1,1,IF('Ответы учащихся'!P53="N",'Ответы учащихся'!P53,0)),"")</f>
        <v/>
      </c>
      <c r="BF53" s="176"/>
      <c r="BG53" s="176"/>
      <c r="BH53" s="176"/>
      <c r="BI53" s="176"/>
      <c r="BJ53" s="6"/>
      <c r="BK53" s="6"/>
      <c r="BL53" s="6"/>
      <c r="BM53" s="6"/>
      <c r="BN53" s="6"/>
      <c r="BO53" s="6"/>
    </row>
    <row r="54" spans="1:87" ht="12.75" customHeight="1">
      <c r="A54" s="12">
        <f>IF('СПИСОК КЛАССА'!J54&gt;0,1,0)</f>
        <v>0</v>
      </c>
      <c r="B54" s="313">
        <v>35</v>
      </c>
      <c r="C54" s="314" t="str">
        <f>IF(NOT(ISBLANK('СПИСОК КЛАССА'!C54)),'СПИСОК КЛАССА'!C54,"")</f>
        <v/>
      </c>
      <c r="D54" s="314" t="str">
        <f>IF(NOT(ISBLANK('СПИСОК КЛАССА'!D54)),IF($A54=1,'СПИСОК КЛАССА'!D54, "УЧЕНИК НЕ ВЫПОЛНЯЛ РАБОТУ"),"")</f>
        <v/>
      </c>
      <c r="E54" s="287" t="str">
        <f>IF($C54&lt;&gt;"",'СПИСОК КЛАССА'!J54,"")</f>
        <v/>
      </c>
      <c r="F54" s="441" t="str">
        <f>IF(AND(OR($C54&lt;&gt;"",$D54&lt;&gt;""),$A54=1,$AJ$6="ДА"),(IF(A54=1,IF(OR(AND(E54=1,'Ответы учащихся'!E54=1),AND(E54=2,'Ответы учащихся'!E54=3)),1,IF('Ответы учащихся'!E54="N",'Ответы учащихся'!E54,0)),"")),"")</f>
        <v/>
      </c>
      <c r="G54" s="442" t="str">
        <f>IF(AND(OR($C54&lt;&gt;"",$D54&lt;&gt;""),$A54=1,$AJ$6="ДА"),(IF(A54=1,IF(OR(AND(E54=1,'Ответы учащихся'!F54=2),AND(E54=2,'Ответы учащихся'!F54=3)),1,IF('Ответы учащихся'!F54="N",'Ответы учащихся'!F54,0)),"")),"")</f>
        <v/>
      </c>
      <c r="H54" s="304" t="str">
        <f>IF(AND(OR($C54&lt;&gt;"",$D54&lt;&gt;""),$A54=1,$AJ$6="ДА"),IF(A54=1,IF(OR(AND(E54=1,'Ответы учащихся'!G54="GIRL"),AND(E54=2,'Ответы учащихся'!G54="YEARS")),1,IF('Ответы учащихся'!G54="N",'Ответы учащихся'!G54,0)),""),"")</f>
        <v/>
      </c>
      <c r="I54" s="98" t="str">
        <f>IF(AND(OR($C54&lt;&gt;"",$D54&lt;&gt;""),$A54=1,$AJ$6="ДА"),IF(A54=1,IF(OR(AND(E54=1,'Ответы учащихся'!H54="SHOUTED"),AND(E54=2,'Ответы учащихся'!H54="HER")),1,IF('Ответы учащихся'!H54="N",'Ответы учащихся'!H54,0)),""),"")</f>
        <v/>
      </c>
      <c r="J54" s="98" t="str">
        <f>IF(AND(OR($C54&lt;&gt;"",$D54&lt;&gt;""),$A54=1,$AJ$6="ДА"),IF(A54=1,IF(OR(AND(E54=1,'Ответы учащихся'!I54="ZOO"),AND(E54=2,'Ответы учащихся'!I54="HUSBAND")),1,IF('Ответы учащихся'!I54="N",'Ответы учащихся'!I54,0)),""),"")</f>
        <v/>
      </c>
      <c r="K54" s="98" t="str">
        <f>IF(AND(OR($C54&lt;&gt;"",$D54&lt;&gt;""),$A54=1,$AJ$6="ДА"),IF(A54=1,IF(OR(AND(E54=1,'Ответы учащихся'!J54="AT"),AND(E54=2,'Ответы учащихся'!J54="LIVE")),1,IF('Ответы учащихся'!J54="N",'Ответы учащихся'!J54,0)),""),"")</f>
        <v/>
      </c>
      <c r="L54" s="98" t="str">
        <f>IF(AND(OR($C54&lt;&gt;"",$D54&lt;&gt;""),$A54=1,$AJ$6="ДА"),IF(A54=1,IF(OR(AND(E54=1,'Ответы учащихся'!K54="SAID"),AND(E54=2,'Ответы учащихся'!K54="MUCH")),1,IF('Ответы учащихся'!K54="N",'Ответы учащихся'!K54,0)),""),"")</f>
        <v/>
      </c>
      <c r="M54" s="98" t="str">
        <f>IF(AND(OR($C54&lt;&gt;"",$D54&lt;&gt;""),$A54=1,$AJ$6="ДА"),IF(A54=1,IF(OR(AND(E54=1,'Ответы учащихся'!L54="MORNING"),AND(E54=2,'Ответы учащихся'!L54="SHEEP")),1,IF('Ответы учащихся'!L54="N",'Ответы учащихся'!L54,0)),""),"")</f>
        <v/>
      </c>
      <c r="N54" s="98" t="str">
        <f>IF(AND(OR($C54&lt;&gt;"",$D54&lt;&gt;""),$A54=1,$AJ$6="ДА"),IF(A54=1,IF(OR(AND(E54=1,'Ответы учащихся'!M54="MUCH"),AND(E54=2,'Ответы учащихся'!M54="SELL")),1,IF('Ответы учащихся'!M54="N",'Ответы учащихся'!M54,0)),""),"")</f>
        <v/>
      </c>
      <c r="O54" s="131" t="str">
        <f>IF(AND(OR($C54&lt;&gt;"",$D54&lt;&gt;""),$A54=1,$AJ$6="ДА"),IF(A54=1,IF(OR(AND(E54=1,'Ответы учащихся'!N54="LIKE"),AND(E54=2,'Ответы учащихся'!N54="IN")),1,IF('Ответы учащихся'!N54="N",'Ответы учащихся'!N54,0)),""),"")</f>
        <v/>
      </c>
      <c r="P54" s="98" t="str">
        <f>IF(AND(OR($C54&lt;&gt;"",$D54&lt;&gt;""),$A54=1,$AJ$6="ДА"),IF(A54=1,IF(OR(AND(E54=1,'Ответы учащихся'!O54="ANIMALS"),AND(E54=2,'Ответы учащихся'!O54="CLOTHES")),1,IF('Ответы учащихся'!O54="N",'Ответы учащихся'!O54,0)),""),"")</f>
        <v/>
      </c>
      <c r="Q54" s="98" t="str">
        <f>IF(AND(OR($C54&lt;&gt;"",$D54&lt;&gt;""),$A54=1,$AJ$6="ДА"),IF(A54=1,IF(OR(AND(E54=1,'Ответы учащихся'!P54="WE"),AND(E54=2,'Ответы учащихся'!P54="GOES")),1,IF('Ответы учащихся'!P54="N",'Ответы учащихся'!P54,0)),""),"")</f>
        <v/>
      </c>
      <c r="R54" s="98" t="str">
        <f>IF(AND(OR($C54&lt;&gt;"",$D54&lt;&gt;""),$A54=1,$AJ$6="ДА"),IF(A54=1,IF(OR(AND(E54=1,'Ответы учащихся'!Q54="ASKED"),AND(E54=2,'Ответы учащихся'!Q54="MADE")),1,IF('Ответы учащихся'!Q54="N",'Ответы учащихся'!Q54,0)),""),"")</f>
        <v/>
      </c>
      <c r="S54" s="98" t="str">
        <f>IF(AND(OR($C54&lt;&gt;"",$D54&lt;&gt;""),$A54=1,$AJ$6="ДА"),IF(A54=1,IF(OR(AND(E54=1,'Ответы учащихся'!R54="LOST"),AND(E54=2,'Ответы учащихся'!R54="GOT")),1,IF('Ответы учащихся'!R54="N",'Ответы учащихся'!R54,0)),""),"")</f>
        <v/>
      </c>
      <c r="T54" s="98" t="str">
        <f>IF(AND(OR($C54&lt;&gt;"",$D54&lt;&gt;""),$A54=1,$AJ$6="ДА"),IF(A54=1,IF(OR(AND(E54=1,'Ответы учащихся'!S54="GOT"),AND(E54=2,'Ответы учащихся'!S54="CAME")),1,IF('Ответы учащихся'!S54="N",'Ответы учащихся'!S54,0)),""),"")</f>
        <v/>
      </c>
      <c r="U54" s="98" t="str">
        <f>IF(AND(OR($C54&lt;&gt;"",$D54&lt;&gt;""),$A54=1,$AJ$6="ДА"),IF(A54=1,IF(OR(AND(E54=1,'Ответы учащихся'!T54="SAW"),AND(E54=2,'Ответы учащихся'!T54="OPENED")),1,IF('Ответы учащихся'!T54="N",'Ответы учащихся'!T54,0)),""),"")</f>
        <v/>
      </c>
      <c r="V54" s="98" t="str">
        <f>IF(AND(OR($C54&lt;&gt;"",$D54&lt;&gt;""),$A54=1,$AJ$6="ДА"),IF(A54=1,IF(OR(AND(E54=1,'Ответы учащихся'!U54="WAS"),AND(E54=2,'Ответы учащихся'!U54="TRIED")),1,IF('Ответы учащихся'!U54="N",'Ответы учащихся'!U54,0)),""),"")</f>
        <v/>
      </c>
      <c r="W54" s="98" t="str">
        <f>IF(AND(OR($C54&lt;&gt;"",$D54&lt;&gt;""),$A54=1,$AJ$6="ДА"),IF(A54=1,IF(OR(AND(E54=1,'Ответы учащихся'!V54="KNEW"),AND(E54=2,'Ответы учащихся'!V54="SAW")),1,IF('Ответы учащихся'!V54="N",'Ответы учащихся'!V54,0)),""),"")</f>
        <v/>
      </c>
      <c r="X54" s="98" t="str">
        <f>IF(AND(OR($C54&lt;&gt;"",$D54&lt;&gt;""),$A54=1,$AJ$6="ДА"),IF(A54=1,IF(OR(AND(E54=1,'Ответы учащихся'!W54="BROKE"),AND(E54=2,'Ответы учащихся'!W54="WENT")),1,IF('Ответы учащихся'!W54="N",'Ответы учащихся'!W54,0)),""),"")</f>
        <v/>
      </c>
      <c r="Y54" s="98" t="str">
        <f>IF(AND(OR($C54&lt;&gt;"",$D54&lt;&gt;""),$A54=1,$AJ$6="ДА"),IF(A54=1,IF(OR(AND(E54=1,'Ответы учащихся'!X54="CAME"),AND(E54=2,'Ответы учащихся'!X54="BEGAN")),1,IF('Ответы учащихся'!X54="N",'Ответы учащихся'!X54,0)),""),"")</f>
        <v/>
      </c>
      <c r="Z54" s="98" t="str">
        <f>IF(AND(OR($C54&lt;&gt;"",$D54&lt;&gt;""),$A54=1,$AJ$6="ДА"),IF(A54=1,IF(OR(AND(E54=1,'Ответы учащихся'!Y54="RODE"),AND(E54=2,'Ответы учащихся'!Y54="PUT")),1,IF('Ответы учащихся'!Y54="N",'Ответы учащихся'!Y54,0)),""),"")</f>
        <v/>
      </c>
      <c r="AA54" s="305" t="str">
        <f>IF(AND(OR($C54&lt;&gt;"",$D54&lt;&gt;""),$A54=1,$AJ$6="ДА"),IF(A54=1,IF(OR(AND(E54=1,'Ответы учащихся'!Z54="TOOK"),AND(E54=2,'Ответы учащихся'!Z54="LEFT")),1,IF('Ответы учащихся'!Z54="N",'Ответы учащихся'!Z54,0)),""),"")</f>
        <v/>
      </c>
      <c r="AB54" s="477" t="str">
        <f>IF(AND(OR($C54&lt;&gt;"",$D54&lt;&gt;""),$A54=1,$AJ$6="ДА"),IF(OR('Ответы учащихся'!AA54="N",'Ответы учащихся'!AL54="N"),"N",('Ответы учащихся'!AA54+'Ответы учащихся'!AL54)),"")</f>
        <v/>
      </c>
      <c r="AC54" s="310" t="b">
        <f t="shared" si="5"/>
        <v>0</v>
      </c>
      <c r="AD54" s="274" t="b">
        <f t="shared" si="6"/>
        <v>0</v>
      </c>
      <c r="AE54" s="274" t="b">
        <f t="shared" si="7"/>
        <v>0</v>
      </c>
      <c r="AF54" s="274" t="b">
        <f t="shared" si="8"/>
        <v>0</v>
      </c>
      <c r="AG54" s="274" t="b">
        <f>IF(OR('Ответы учащихся'!AA54="N",'Ответы учащихся'!AL54="N"),1)</f>
        <v>0</v>
      </c>
      <c r="AH54" s="289" t="str">
        <f>IF(AND(OR($C54&lt;&gt;"",$D54&lt;&gt;""),$A54=1,$AJ$6="ДА"),IF(A54=1,IF('Ответы учащихся'!AK54="N",'Ответы учащихся'!AK54,AF54+AG54),""),"")</f>
        <v/>
      </c>
      <c r="AI54" s="461" t="str">
        <f t="shared" si="9"/>
        <v/>
      </c>
      <c r="AJ54" s="128" t="str">
        <f t="shared" si="10"/>
        <v/>
      </c>
      <c r="AK54" s="133" t="str">
        <f t="shared" si="11"/>
        <v/>
      </c>
      <c r="AL54" s="269" t="str">
        <f t="shared" si="12"/>
        <v/>
      </c>
      <c r="AM54" s="133" t="str">
        <f t="shared" si="13"/>
        <v/>
      </c>
      <c r="AN54" s="269" t="str">
        <f t="shared" si="14"/>
        <v/>
      </c>
      <c r="AO54" s="435" t="str">
        <f t="shared" si="15"/>
        <v/>
      </c>
      <c r="AP54" s="427">
        <f t="shared" si="16"/>
        <v>17.068965517241381</v>
      </c>
      <c r="AQ54" s="182">
        <f t="shared" si="17"/>
        <v>0.6827586206896552</v>
      </c>
      <c r="AR54" s="176">
        <v>6</v>
      </c>
      <c r="AS54" s="181">
        <f t="shared" si="18"/>
        <v>69.905956112852664</v>
      </c>
      <c r="AT54" s="183" t="str">
        <f>IF(A54=1,IF(OR(AND(E54=1,'Ответы учащихся'!AB54=0.15),AND(E54=2,'Ответы учащихся'!AB54=-2)),1,IF('Ответы учащихся'!AB54="N",'Ответы учащихся'!AB54,0)),"")</f>
        <v/>
      </c>
      <c r="AU54" s="176" t="str">
        <f>IF(A54=1,IF(OR(AND(E54=1,'Ответы учащихся'!AC54="м/с"),AND(E54=2,'Ответы учащихся'!AC54="mV0")),1,IF('Ответы учащихся'!AB54="N",'Ответы учащихся'!AB54,0)),"")</f>
        <v/>
      </c>
      <c r="AV54" s="176" t="str">
        <f>IF(A54=1,IF(OR(AND(E54=1,'Ответы учащихся'!AD54=-6),AND(E54=2,'Ответы учащихся'!AD54=-10)),1,IF('Ответы учащихся'!AE54="N",'Ответы учащихся'!AE54,0)),"")</f>
        <v/>
      </c>
      <c r="AW54" s="176" t="str">
        <f>IF(A54=1,IF(OR(AND(E54=1,'Ответы учащихся'!AE54="Нм"),AND(E54=2,'Ответы учащихся'!AE54="Нм")),1,IF('Ответы учащихся'!AE54="N",'Ответы учащихся'!AE54,0)),"")</f>
        <v/>
      </c>
      <c r="AX54" s="176" t="str">
        <f>IF(A54=1,IF(OR(AND(E54=1,'Ответы учащихся'!AF54=250),AND(E54=2,'Ответы учащихся'!AF54=500)),1,IF('Ответы учащихся'!AF54="N",'Ответы учащихся'!AF54,0)),"")</f>
        <v/>
      </c>
      <c r="AY54" s="176" t="str">
        <f>IF(A54=1,IF(OR(AND(E54=1,'Ответы учащихся'!AG54="м"),AND(E54=2,'Ответы учащихся'!AG54="Па")),1,IF('Ответы учащихся'!AF54="N",'Ответы учащихся'!AF54,0)),"")</f>
        <v/>
      </c>
      <c r="AZ54" s="177" t="str">
        <f>IF(E54=1,(IF('Ответы учащихся'!N54=3,1,IF('Ответы учащихся'!N54="N",'Ответы учащихся'!N54,0))),"")</f>
        <v/>
      </c>
      <c r="BA54" s="178" t="str">
        <f>IF(E54=2,IF('Ответы учащихся'!N54=1,1,(IF('Ответы учащихся'!N54="N",'Ответы учащихся'!N54,0))),"")</f>
        <v/>
      </c>
      <c r="BB54" s="179" t="str">
        <f>IF(E54=1,IF('Ответы учащихся'!O54=3,1,IF('Ответы учащихся'!O54="N",'Ответы учащихся'!O54,0)),"")</f>
        <v/>
      </c>
      <c r="BC54" s="178" t="str">
        <f>IF(E54=2,IF('Ответы учащихся'!O54=2,1,IF('Ответы учащихся'!O54="N",'Ответы учащихся'!O54,0)),"")</f>
        <v/>
      </c>
      <c r="BD54" s="179" t="str">
        <f>IF(E54=1,IF('Ответы учащихся'!P54=1,1,IF('Ответы учащихся'!P54="N",'Ответы учащихся'!P54,0)),"")</f>
        <v/>
      </c>
      <c r="BE54" s="178" t="str">
        <f>IF(E54=2,IF('Ответы учащихся'!P54=1,1,IF('Ответы учащихся'!P54="N",'Ответы учащихся'!P54,0)),"")</f>
        <v/>
      </c>
      <c r="BF54" s="176"/>
      <c r="BG54" s="176"/>
      <c r="BH54" s="176"/>
      <c r="BI54" s="176"/>
      <c r="BJ54" s="6"/>
      <c r="BK54" s="6"/>
      <c r="BL54" s="6"/>
      <c r="BM54" s="6"/>
      <c r="BN54" s="6"/>
      <c r="BO54" s="6"/>
    </row>
    <row r="55" spans="1:87" ht="12.75" customHeight="1">
      <c r="A55" s="12">
        <f>IF('СПИСОК КЛАССА'!J55&gt;0,1,0)</f>
        <v>0</v>
      </c>
      <c r="B55" s="313">
        <v>36</v>
      </c>
      <c r="C55" s="314" t="str">
        <f>IF(NOT(ISBLANK('СПИСОК КЛАССА'!C55)),'СПИСОК КЛАССА'!C55,"")</f>
        <v/>
      </c>
      <c r="D55" s="314" t="str">
        <f>IF(NOT(ISBLANK('СПИСОК КЛАССА'!D55)),IF($A55=1,'СПИСОК КЛАССА'!D55, "УЧЕНИК НЕ ВЫПОЛНЯЛ РАБОТУ"),"")</f>
        <v/>
      </c>
      <c r="E55" s="287" t="str">
        <f>IF($C55&lt;&gt;"",'СПИСОК КЛАССА'!J55,"")</f>
        <v/>
      </c>
      <c r="F55" s="441" t="str">
        <f>IF(AND(OR($C55&lt;&gt;"",$D55&lt;&gt;""),$A55=1,$AJ$6="ДА"),(IF(A55=1,IF(OR(AND(E55=1,'Ответы учащихся'!E55=1),AND(E55=2,'Ответы учащихся'!E55=3)),1,IF('Ответы учащихся'!E55="N",'Ответы учащихся'!E55,0)),"")),"")</f>
        <v/>
      </c>
      <c r="G55" s="442" t="str">
        <f>IF(AND(OR($C55&lt;&gt;"",$D55&lt;&gt;""),$A55=1,$AJ$6="ДА"),(IF(A55=1,IF(OR(AND(E55=1,'Ответы учащихся'!F55=2),AND(E55=2,'Ответы учащихся'!F55=3)),1,IF('Ответы учащихся'!F55="N",'Ответы учащихся'!F55,0)),"")),"")</f>
        <v/>
      </c>
      <c r="H55" s="304" t="str">
        <f>IF(AND(OR($C55&lt;&gt;"",$D55&lt;&gt;""),$A55=1,$AJ$6="ДА"),IF(A55=1,IF(OR(AND(E55=1,'Ответы учащихся'!G55="GIRL"),AND(E55=2,'Ответы учащихся'!G55="YEARS")),1,IF('Ответы учащихся'!G55="N",'Ответы учащихся'!G55,0)),""),"")</f>
        <v/>
      </c>
      <c r="I55" s="98" t="str">
        <f>IF(AND(OR($C55&lt;&gt;"",$D55&lt;&gt;""),$A55=1,$AJ$6="ДА"),IF(A55=1,IF(OR(AND(E55=1,'Ответы учащихся'!H55="SHOUTED"),AND(E55=2,'Ответы учащихся'!H55="HER")),1,IF('Ответы учащихся'!H55="N",'Ответы учащихся'!H55,0)),""),"")</f>
        <v/>
      </c>
      <c r="J55" s="98" t="str">
        <f>IF(AND(OR($C55&lt;&gt;"",$D55&lt;&gt;""),$A55=1,$AJ$6="ДА"),IF(A55=1,IF(OR(AND(E55=1,'Ответы учащихся'!I55="ZOO"),AND(E55=2,'Ответы учащихся'!I55="HUSBAND")),1,IF('Ответы учащихся'!I55="N",'Ответы учащихся'!I55,0)),""),"")</f>
        <v/>
      </c>
      <c r="K55" s="98" t="str">
        <f>IF(AND(OR($C55&lt;&gt;"",$D55&lt;&gt;""),$A55=1,$AJ$6="ДА"),IF(A55=1,IF(OR(AND(E55=1,'Ответы учащихся'!J55="AT"),AND(E55=2,'Ответы учащихся'!J55="LIVE")),1,IF('Ответы учащихся'!J55="N",'Ответы учащихся'!J55,0)),""),"")</f>
        <v/>
      </c>
      <c r="L55" s="98" t="str">
        <f>IF(AND(OR($C55&lt;&gt;"",$D55&lt;&gt;""),$A55=1,$AJ$6="ДА"),IF(A55=1,IF(OR(AND(E55=1,'Ответы учащихся'!K55="SAID"),AND(E55=2,'Ответы учащихся'!K55="MUCH")),1,IF('Ответы учащихся'!K55="N",'Ответы учащихся'!K55,0)),""),"")</f>
        <v/>
      </c>
      <c r="M55" s="98" t="str">
        <f>IF(AND(OR($C55&lt;&gt;"",$D55&lt;&gt;""),$A55=1,$AJ$6="ДА"),IF(A55=1,IF(OR(AND(E55=1,'Ответы учащихся'!L55="MORNING"),AND(E55=2,'Ответы учащихся'!L55="SHEEP")),1,IF('Ответы учащихся'!L55="N",'Ответы учащихся'!L55,0)),""),"")</f>
        <v/>
      </c>
      <c r="N55" s="98" t="str">
        <f>IF(AND(OR($C55&lt;&gt;"",$D55&lt;&gt;""),$A55=1,$AJ$6="ДА"),IF(A55=1,IF(OR(AND(E55=1,'Ответы учащихся'!M55="MUCH"),AND(E55=2,'Ответы учащихся'!M55="SELL")),1,IF('Ответы учащихся'!M55="N",'Ответы учащихся'!M55,0)),""),"")</f>
        <v/>
      </c>
      <c r="O55" s="131" t="str">
        <f>IF(AND(OR($C55&lt;&gt;"",$D55&lt;&gt;""),$A55=1,$AJ$6="ДА"),IF(A55=1,IF(OR(AND(E55=1,'Ответы учащихся'!N55="LIKE"),AND(E55=2,'Ответы учащихся'!N55="IN")),1,IF('Ответы учащихся'!N55="N",'Ответы учащихся'!N55,0)),""),"")</f>
        <v/>
      </c>
      <c r="P55" s="98" t="str">
        <f>IF(AND(OR($C55&lt;&gt;"",$D55&lt;&gt;""),$A55=1,$AJ$6="ДА"),IF(A55=1,IF(OR(AND(E55=1,'Ответы учащихся'!O55="ANIMALS"),AND(E55=2,'Ответы учащихся'!O55="CLOTHES")),1,IF('Ответы учащихся'!O55="N",'Ответы учащихся'!O55,0)),""),"")</f>
        <v/>
      </c>
      <c r="Q55" s="98" t="str">
        <f>IF(AND(OR($C55&lt;&gt;"",$D55&lt;&gt;""),$A55=1,$AJ$6="ДА"),IF(A55=1,IF(OR(AND(E55=1,'Ответы учащихся'!P55="WE"),AND(E55=2,'Ответы учащихся'!P55="GOES")),1,IF('Ответы учащихся'!P55="N",'Ответы учащихся'!P55,0)),""),"")</f>
        <v/>
      </c>
      <c r="R55" s="98" t="str">
        <f>IF(AND(OR($C55&lt;&gt;"",$D55&lt;&gt;""),$A55=1,$AJ$6="ДА"),IF(A55=1,IF(OR(AND(E55=1,'Ответы учащихся'!Q55="ASKED"),AND(E55=2,'Ответы учащихся'!Q55="MADE")),1,IF('Ответы учащихся'!Q55="N",'Ответы учащихся'!Q55,0)),""),"")</f>
        <v/>
      </c>
      <c r="S55" s="98" t="str">
        <f>IF(AND(OR($C55&lt;&gt;"",$D55&lt;&gt;""),$A55=1,$AJ$6="ДА"),IF(A55=1,IF(OR(AND(E55=1,'Ответы учащихся'!R55="LOST"),AND(E55=2,'Ответы учащихся'!R55="GOT")),1,IF('Ответы учащихся'!R55="N",'Ответы учащихся'!R55,0)),""),"")</f>
        <v/>
      </c>
      <c r="T55" s="98" t="str">
        <f>IF(AND(OR($C55&lt;&gt;"",$D55&lt;&gt;""),$A55=1,$AJ$6="ДА"),IF(A55=1,IF(OR(AND(E55=1,'Ответы учащихся'!S55="GOT"),AND(E55=2,'Ответы учащихся'!S55="CAME")),1,IF('Ответы учащихся'!S55="N",'Ответы учащихся'!S55,0)),""),"")</f>
        <v/>
      </c>
      <c r="U55" s="98" t="str">
        <f>IF(AND(OR($C55&lt;&gt;"",$D55&lt;&gt;""),$A55=1,$AJ$6="ДА"),IF(A55=1,IF(OR(AND(E55=1,'Ответы учащихся'!T55="SAW"),AND(E55=2,'Ответы учащихся'!T55="OPENED")),1,IF('Ответы учащихся'!T55="N",'Ответы учащихся'!T55,0)),""),"")</f>
        <v/>
      </c>
      <c r="V55" s="98" t="str">
        <f>IF(AND(OR($C55&lt;&gt;"",$D55&lt;&gt;""),$A55=1,$AJ$6="ДА"),IF(A55=1,IF(OR(AND(E55=1,'Ответы учащихся'!U55="WAS"),AND(E55=2,'Ответы учащихся'!U55="TRIED")),1,IF('Ответы учащихся'!U55="N",'Ответы учащихся'!U55,0)),""),"")</f>
        <v/>
      </c>
      <c r="W55" s="98" t="str">
        <f>IF(AND(OR($C55&lt;&gt;"",$D55&lt;&gt;""),$A55=1,$AJ$6="ДА"),IF(A55=1,IF(OR(AND(E55=1,'Ответы учащихся'!V55="KNEW"),AND(E55=2,'Ответы учащихся'!V55="SAW")),1,IF('Ответы учащихся'!V55="N",'Ответы учащихся'!V55,0)),""),"")</f>
        <v/>
      </c>
      <c r="X55" s="98" t="str">
        <f>IF(AND(OR($C55&lt;&gt;"",$D55&lt;&gt;""),$A55=1,$AJ$6="ДА"),IF(A55=1,IF(OR(AND(E55=1,'Ответы учащихся'!W55="BROKE"),AND(E55=2,'Ответы учащихся'!W55="WENT")),1,IF('Ответы учащихся'!W55="N",'Ответы учащихся'!W55,0)),""),"")</f>
        <v/>
      </c>
      <c r="Y55" s="98" t="str">
        <f>IF(AND(OR($C55&lt;&gt;"",$D55&lt;&gt;""),$A55=1,$AJ$6="ДА"),IF(A55=1,IF(OR(AND(E55=1,'Ответы учащихся'!X55="CAME"),AND(E55=2,'Ответы учащихся'!X55="BEGAN")),1,IF('Ответы учащихся'!X55="N",'Ответы учащихся'!X55,0)),""),"")</f>
        <v/>
      </c>
      <c r="Z55" s="98" t="str">
        <f>IF(AND(OR($C55&lt;&gt;"",$D55&lt;&gt;""),$A55=1,$AJ$6="ДА"),IF(A55=1,IF(OR(AND(E55=1,'Ответы учащихся'!Y55="RODE"),AND(E55=2,'Ответы учащихся'!Y55="PUT")),1,IF('Ответы учащихся'!Y55="N",'Ответы учащихся'!Y55,0)),""),"")</f>
        <v/>
      </c>
      <c r="AA55" s="305" t="str">
        <f>IF(AND(OR($C55&lt;&gt;"",$D55&lt;&gt;""),$A55=1,$AJ$6="ДА"),IF(A55=1,IF(OR(AND(E55=1,'Ответы учащихся'!Z55="TOOK"),AND(E55=2,'Ответы учащихся'!Z55="LEFT")),1,IF('Ответы учащихся'!Z55="N",'Ответы учащихся'!Z55,0)),""),"")</f>
        <v/>
      </c>
      <c r="AB55" s="477" t="str">
        <f>IF(AND(OR($C55&lt;&gt;"",$D55&lt;&gt;""),$A55=1,$AJ$6="ДА"),IF(OR('Ответы учащихся'!AA55="N",'Ответы учащихся'!AL55="N"),"N",('Ответы учащихся'!AA55+'Ответы учащихся'!AL55)),"")</f>
        <v/>
      </c>
      <c r="AC55" s="310" t="b">
        <f t="shared" si="5"/>
        <v>0</v>
      </c>
      <c r="AD55" s="274" t="b">
        <f t="shared" si="6"/>
        <v>0</v>
      </c>
      <c r="AE55" s="274" t="b">
        <f t="shared" si="7"/>
        <v>0</v>
      </c>
      <c r="AF55" s="274" t="b">
        <f t="shared" si="8"/>
        <v>0</v>
      </c>
      <c r="AG55" s="274" t="b">
        <f>IF(OR('Ответы учащихся'!AA55="N",'Ответы учащихся'!AL55="N"),1)</f>
        <v>0</v>
      </c>
      <c r="AH55" s="289" t="str">
        <f>IF(AND(OR($C55&lt;&gt;"",$D55&lt;&gt;""),$A55=1,$AJ$6="ДА"),IF(A55=1,IF('Ответы учащихся'!AK55="N",'Ответы учащихся'!AK55,AF55+AG55),""),"")</f>
        <v/>
      </c>
      <c r="AI55" s="461" t="str">
        <f t="shared" si="9"/>
        <v/>
      </c>
      <c r="AJ55" s="128" t="str">
        <f t="shared" si="10"/>
        <v/>
      </c>
      <c r="AK55" s="133" t="str">
        <f t="shared" si="11"/>
        <v/>
      </c>
      <c r="AL55" s="269" t="str">
        <f t="shared" si="12"/>
        <v/>
      </c>
      <c r="AM55" s="133" t="str">
        <f t="shared" si="13"/>
        <v/>
      </c>
      <c r="AN55" s="269" t="str">
        <f t="shared" si="14"/>
        <v/>
      </c>
      <c r="AO55" s="435" t="str">
        <f t="shared" si="15"/>
        <v/>
      </c>
      <c r="AP55" s="427">
        <f t="shared" si="16"/>
        <v>17.068965517241381</v>
      </c>
      <c r="AQ55" s="182">
        <f t="shared" si="17"/>
        <v>0.6827586206896552</v>
      </c>
      <c r="AR55" s="176">
        <v>6</v>
      </c>
      <c r="AS55" s="181">
        <f t="shared" si="18"/>
        <v>69.905956112852664</v>
      </c>
      <c r="AT55" s="183" t="str">
        <f>IF(A55=1,IF(OR(AND(E55=1,'Ответы учащихся'!AB55=0.15),AND(E55=2,'Ответы учащихся'!AB55=-2)),1,IF('Ответы учащихся'!AB55="N",'Ответы учащихся'!AB55,0)),"")</f>
        <v/>
      </c>
      <c r="AU55" s="176" t="str">
        <f>IF(A55=1,IF(OR(AND(E55=1,'Ответы учащихся'!AC55="м/с"),AND(E55=2,'Ответы учащихся'!AC55="mV0")),1,IF('Ответы учащихся'!AB55="N",'Ответы учащихся'!AB55,0)),"")</f>
        <v/>
      </c>
      <c r="AV55" s="176" t="str">
        <f>IF(A55=1,IF(OR(AND(E55=1,'Ответы учащихся'!AD55=-6),AND(E55=2,'Ответы учащихся'!AD55=-10)),1,IF('Ответы учащихся'!AE55="N",'Ответы учащихся'!AE55,0)),"")</f>
        <v/>
      </c>
      <c r="AW55" s="176" t="str">
        <f>IF(A55=1,IF(OR(AND(E55=1,'Ответы учащихся'!AE55="Нм"),AND(E55=2,'Ответы учащихся'!AE55="Нм")),1,IF('Ответы учащихся'!AE55="N",'Ответы учащихся'!AE55,0)),"")</f>
        <v/>
      </c>
      <c r="AX55" s="176" t="str">
        <f>IF(A55=1,IF(OR(AND(E55=1,'Ответы учащихся'!AF55=250),AND(E55=2,'Ответы учащихся'!AF55=500)),1,IF('Ответы учащихся'!AF55="N",'Ответы учащихся'!AF55,0)),"")</f>
        <v/>
      </c>
      <c r="AY55" s="176" t="str">
        <f>IF(A55=1,IF(OR(AND(E55=1,'Ответы учащихся'!AG55="м"),AND(E55=2,'Ответы учащихся'!AG55="Па")),1,IF('Ответы учащихся'!AF55="N",'Ответы учащихся'!AF55,0)),"")</f>
        <v/>
      </c>
      <c r="AZ55" s="177" t="str">
        <f>IF(E55=1,(IF('Ответы учащихся'!N55=3,1,IF('Ответы учащихся'!N55="N",'Ответы учащихся'!N55,0))),"")</f>
        <v/>
      </c>
      <c r="BA55" s="178" t="str">
        <f>IF(E55=2,IF('Ответы учащихся'!N55=1,1,(IF('Ответы учащихся'!N55="N",'Ответы учащихся'!N55,0))),"")</f>
        <v/>
      </c>
      <c r="BB55" s="179" t="str">
        <f>IF(E55=1,IF('Ответы учащихся'!O55=3,1,IF('Ответы учащихся'!O55="N",'Ответы учащихся'!O55,0)),"")</f>
        <v/>
      </c>
      <c r="BC55" s="178" t="str">
        <f>IF(E55=2,IF('Ответы учащихся'!O55=2,1,IF('Ответы учащихся'!O55="N",'Ответы учащихся'!O55,0)),"")</f>
        <v/>
      </c>
      <c r="BD55" s="179" t="str">
        <f>IF(E55=1,IF('Ответы учащихся'!P55=1,1,IF('Ответы учащихся'!P55="N",'Ответы учащихся'!P55,0)),"")</f>
        <v/>
      </c>
      <c r="BE55" s="178" t="str">
        <f>IF(E55=2,IF('Ответы учащихся'!P55=1,1,IF('Ответы учащихся'!P55="N",'Ответы учащихся'!P55,0)),"")</f>
        <v/>
      </c>
      <c r="BF55" s="176"/>
      <c r="BG55" s="176"/>
      <c r="BH55" s="176"/>
      <c r="BI55" s="176"/>
      <c r="BJ55" s="6"/>
      <c r="BK55" s="6"/>
      <c r="BL55" s="6"/>
      <c r="BM55" s="6"/>
      <c r="BN55" s="6"/>
      <c r="BO55" s="6"/>
    </row>
    <row r="56" spans="1:87" ht="12.75" customHeight="1">
      <c r="A56" s="12">
        <f>IF('СПИСОК КЛАССА'!J56&gt;0,1,0)</f>
        <v>0</v>
      </c>
      <c r="B56" s="313">
        <v>37</v>
      </c>
      <c r="C56" s="314" t="str">
        <f>IF(NOT(ISBLANK('СПИСОК КЛАССА'!C56)),'СПИСОК КЛАССА'!C56,"")</f>
        <v/>
      </c>
      <c r="D56" s="314" t="str">
        <f>IF(NOT(ISBLANK('СПИСОК КЛАССА'!D56)),IF($A56=1,'СПИСОК КЛАССА'!D56, "УЧЕНИК НЕ ВЫПОЛНЯЛ РАБОТУ"),"")</f>
        <v/>
      </c>
      <c r="E56" s="287" t="str">
        <f>IF($C56&lt;&gt;"",'СПИСОК КЛАССА'!J56,"")</f>
        <v/>
      </c>
      <c r="F56" s="441" t="str">
        <f>IF(AND(OR($C56&lt;&gt;"",$D56&lt;&gt;""),$A56=1,$AJ$6="ДА"),(IF(A56=1,IF(OR(AND(E56=1,'Ответы учащихся'!E56=1),AND(E56=2,'Ответы учащихся'!E56=3)),1,IF('Ответы учащихся'!E56="N",'Ответы учащихся'!E56,0)),"")),"")</f>
        <v/>
      </c>
      <c r="G56" s="442" t="str">
        <f>IF(AND(OR($C56&lt;&gt;"",$D56&lt;&gt;""),$A56=1,$AJ$6="ДА"),(IF(A56=1,IF(OR(AND(E56=1,'Ответы учащихся'!F56=2),AND(E56=2,'Ответы учащихся'!F56=3)),1,IF('Ответы учащихся'!F56="N",'Ответы учащихся'!F56,0)),"")),"")</f>
        <v/>
      </c>
      <c r="H56" s="304" t="str">
        <f>IF(AND(OR($C56&lt;&gt;"",$D56&lt;&gt;""),$A56=1,$AJ$6="ДА"),IF(A56=1,IF(OR(AND(E56=1,'Ответы учащихся'!G56="GIRL"),AND(E56=2,'Ответы учащихся'!G56="YEARS")),1,IF('Ответы учащихся'!G56="N",'Ответы учащихся'!G56,0)),""),"")</f>
        <v/>
      </c>
      <c r="I56" s="98" t="str">
        <f>IF(AND(OR($C56&lt;&gt;"",$D56&lt;&gt;""),$A56=1,$AJ$6="ДА"),IF(A56=1,IF(OR(AND(E56=1,'Ответы учащихся'!H56="SHOUTED"),AND(E56=2,'Ответы учащихся'!H56="HER")),1,IF('Ответы учащихся'!H56="N",'Ответы учащихся'!H56,0)),""),"")</f>
        <v/>
      </c>
      <c r="J56" s="98" t="str">
        <f>IF(AND(OR($C56&lt;&gt;"",$D56&lt;&gt;""),$A56=1,$AJ$6="ДА"),IF(A56=1,IF(OR(AND(E56=1,'Ответы учащихся'!I56="ZOO"),AND(E56=2,'Ответы учащихся'!I56="HUSBAND")),1,IF('Ответы учащихся'!I56="N",'Ответы учащихся'!I56,0)),""),"")</f>
        <v/>
      </c>
      <c r="K56" s="98" t="str">
        <f>IF(AND(OR($C56&lt;&gt;"",$D56&lt;&gt;""),$A56=1,$AJ$6="ДА"),IF(A56=1,IF(OR(AND(E56=1,'Ответы учащихся'!J56="AT"),AND(E56=2,'Ответы учащихся'!J56="LIVE")),1,IF('Ответы учащихся'!J56="N",'Ответы учащихся'!J56,0)),""),"")</f>
        <v/>
      </c>
      <c r="L56" s="98" t="str">
        <f>IF(AND(OR($C56&lt;&gt;"",$D56&lt;&gt;""),$A56=1,$AJ$6="ДА"),IF(A56=1,IF(OR(AND(E56=1,'Ответы учащихся'!K56="SAID"),AND(E56=2,'Ответы учащихся'!K56="MUCH")),1,IF('Ответы учащихся'!K56="N",'Ответы учащихся'!K56,0)),""),"")</f>
        <v/>
      </c>
      <c r="M56" s="98" t="str">
        <f>IF(AND(OR($C56&lt;&gt;"",$D56&lt;&gt;""),$A56=1,$AJ$6="ДА"),IF(A56=1,IF(OR(AND(E56=1,'Ответы учащихся'!L56="MORNING"),AND(E56=2,'Ответы учащихся'!L56="SHEEP")),1,IF('Ответы учащихся'!L56="N",'Ответы учащихся'!L56,0)),""),"")</f>
        <v/>
      </c>
      <c r="N56" s="98" t="str">
        <f>IF(AND(OR($C56&lt;&gt;"",$D56&lt;&gt;""),$A56=1,$AJ$6="ДА"),IF(A56=1,IF(OR(AND(E56=1,'Ответы учащихся'!M56="MUCH"),AND(E56=2,'Ответы учащихся'!M56="SELL")),1,IF('Ответы учащихся'!M56="N",'Ответы учащихся'!M56,0)),""),"")</f>
        <v/>
      </c>
      <c r="O56" s="131" t="str">
        <f>IF(AND(OR($C56&lt;&gt;"",$D56&lt;&gt;""),$A56=1,$AJ$6="ДА"),IF(A56=1,IF(OR(AND(E56=1,'Ответы учащихся'!N56="LIKE"),AND(E56=2,'Ответы учащихся'!N56="IN")),1,IF('Ответы учащихся'!N56="N",'Ответы учащихся'!N56,0)),""),"")</f>
        <v/>
      </c>
      <c r="P56" s="98" t="str">
        <f>IF(AND(OR($C56&lt;&gt;"",$D56&lt;&gt;""),$A56=1,$AJ$6="ДА"),IF(A56=1,IF(OR(AND(E56=1,'Ответы учащихся'!O56="ANIMALS"),AND(E56=2,'Ответы учащихся'!O56="CLOTHES")),1,IF('Ответы учащихся'!O56="N",'Ответы учащихся'!O56,0)),""),"")</f>
        <v/>
      </c>
      <c r="Q56" s="98" t="str">
        <f>IF(AND(OR($C56&lt;&gt;"",$D56&lt;&gt;""),$A56=1,$AJ$6="ДА"),IF(A56=1,IF(OR(AND(E56=1,'Ответы учащихся'!P56="WE"),AND(E56=2,'Ответы учащихся'!P56="GOES")),1,IF('Ответы учащихся'!P56="N",'Ответы учащихся'!P56,0)),""),"")</f>
        <v/>
      </c>
      <c r="R56" s="98" t="str">
        <f>IF(AND(OR($C56&lt;&gt;"",$D56&lt;&gt;""),$A56=1,$AJ$6="ДА"),IF(A56=1,IF(OR(AND(E56=1,'Ответы учащихся'!Q56="ASKED"),AND(E56=2,'Ответы учащихся'!Q56="MADE")),1,IF('Ответы учащихся'!Q56="N",'Ответы учащихся'!Q56,0)),""),"")</f>
        <v/>
      </c>
      <c r="S56" s="98" t="str">
        <f>IF(AND(OR($C56&lt;&gt;"",$D56&lt;&gt;""),$A56=1,$AJ$6="ДА"),IF(A56=1,IF(OR(AND(E56=1,'Ответы учащихся'!R56="LOST"),AND(E56=2,'Ответы учащихся'!R56="GOT")),1,IF('Ответы учащихся'!R56="N",'Ответы учащихся'!R56,0)),""),"")</f>
        <v/>
      </c>
      <c r="T56" s="98" t="str">
        <f>IF(AND(OR($C56&lt;&gt;"",$D56&lt;&gt;""),$A56=1,$AJ$6="ДА"),IF(A56=1,IF(OR(AND(E56=1,'Ответы учащихся'!S56="GOT"),AND(E56=2,'Ответы учащихся'!S56="CAME")),1,IF('Ответы учащихся'!S56="N",'Ответы учащихся'!S56,0)),""),"")</f>
        <v/>
      </c>
      <c r="U56" s="98" t="str">
        <f>IF(AND(OR($C56&lt;&gt;"",$D56&lt;&gt;""),$A56=1,$AJ$6="ДА"),IF(A56=1,IF(OR(AND(E56=1,'Ответы учащихся'!T56="SAW"),AND(E56=2,'Ответы учащихся'!T56="OPENED")),1,IF('Ответы учащихся'!T56="N",'Ответы учащихся'!T56,0)),""),"")</f>
        <v/>
      </c>
      <c r="V56" s="98" t="str">
        <f>IF(AND(OR($C56&lt;&gt;"",$D56&lt;&gt;""),$A56=1,$AJ$6="ДА"),IF(A56=1,IF(OR(AND(E56=1,'Ответы учащихся'!U56="WAS"),AND(E56=2,'Ответы учащихся'!U56="TRIED")),1,IF('Ответы учащихся'!U56="N",'Ответы учащихся'!U56,0)),""),"")</f>
        <v/>
      </c>
      <c r="W56" s="98" t="str">
        <f>IF(AND(OR($C56&lt;&gt;"",$D56&lt;&gt;""),$A56=1,$AJ$6="ДА"),IF(A56=1,IF(OR(AND(E56=1,'Ответы учащихся'!V56="KNEW"),AND(E56=2,'Ответы учащихся'!V56="SAW")),1,IF('Ответы учащихся'!V56="N",'Ответы учащихся'!V56,0)),""),"")</f>
        <v/>
      </c>
      <c r="X56" s="98" t="str">
        <f>IF(AND(OR($C56&lt;&gt;"",$D56&lt;&gt;""),$A56=1,$AJ$6="ДА"),IF(A56=1,IF(OR(AND(E56=1,'Ответы учащихся'!W56="BROKE"),AND(E56=2,'Ответы учащихся'!W56="WENT")),1,IF('Ответы учащихся'!W56="N",'Ответы учащихся'!W56,0)),""),"")</f>
        <v/>
      </c>
      <c r="Y56" s="98" t="str">
        <f>IF(AND(OR($C56&lt;&gt;"",$D56&lt;&gt;""),$A56=1,$AJ$6="ДА"),IF(A56=1,IF(OR(AND(E56=1,'Ответы учащихся'!X56="CAME"),AND(E56=2,'Ответы учащихся'!X56="BEGAN")),1,IF('Ответы учащихся'!X56="N",'Ответы учащихся'!X56,0)),""),"")</f>
        <v/>
      </c>
      <c r="Z56" s="98" t="str">
        <f>IF(AND(OR($C56&lt;&gt;"",$D56&lt;&gt;""),$A56=1,$AJ$6="ДА"),IF(A56=1,IF(OR(AND(E56=1,'Ответы учащихся'!Y56="RODE"),AND(E56=2,'Ответы учащихся'!Y56="PUT")),1,IF('Ответы учащихся'!Y56="N",'Ответы учащихся'!Y56,0)),""),"")</f>
        <v/>
      </c>
      <c r="AA56" s="305" t="str">
        <f>IF(AND(OR($C56&lt;&gt;"",$D56&lt;&gt;""),$A56=1,$AJ$6="ДА"),IF(A56=1,IF(OR(AND(E56=1,'Ответы учащихся'!Z56="TOOK"),AND(E56=2,'Ответы учащихся'!Z56="LEFT")),1,IF('Ответы учащихся'!Z56="N",'Ответы учащихся'!Z56,0)),""),"")</f>
        <v/>
      </c>
      <c r="AB56" s="477" t="str">
        <f>IF(AND(OR($C56&lt;&gt;"",$D56&lt;&gt;""),$A56=1,$AJ$6="ДА"),IF(OR('Ответы учащихся'!AA56="N",'Ответы учащихся'!AL56="N"),"N",('Ответы учащихся'!AA56+'Ответы учащихся'!AL56)),"")</f>
        <v/>
      </c>
      <c r="AC56" s="310" t="b">
        <f t="shared" si="5"/>
        <v>0</v>
      </c>
      <c r="AD56" s="274" t="b">
        <f t="shared" si="6"/>
        <v>0</v>
      </c>
      <c r="AE56" s="274" t="b">
        <f t="shared" si="7"/>
        <v>0</v>
      </c>
      <c r="AF56" s="274" t="b">
        <f t="shared" si="8"/>
        <v>0</v>
      </c>
      <c r="AG56" s="274" t="b">
        <f>IF(OR('Ответы учащихся'!AA56="N",'Ответы учащихся'!AL56="N"),1)</f>
        <v>0</v>
      </c>
      <c r="AH56" s="289" t="str">
        <f>IF(AND(OR($C56&lt;&gt;"",$D56&lt;&gt;""),$A56=1,$AJ$6="ДА"),IF(A56=1,IF('Ответы учащихся'!AK56="N",'Ответы учащихся'!AK56,AF56+AG56),""),"")</f>
        <v/>
      </c>
      <c r="AI56" s="461" t="str">
        <f t="shared" si="9"/>
        <v/>
      </c>
      <c r="AJ56" s="128" t="str">
        <f t="shared" si="10"/>
        <v/>
      </c>
      <c r="AK56" s="133" t="str">
        <f t="shared" si="11"/>
        <v/>
      </c>
      <c r="AL56" s="269" t="str">
        <f t="shared" si="12"/>
        <v/>
      </c>
      <c r="AM56" s="133" t="str">
        <f t="shared" si="13"/>
        <v/>
      </c>
      <c r="AN56" s="269" t="str">
        <f t="shared" si="14"/>
        <v/>
      </c>
      <c r="AO56" s="435" t="str">
        <f t="shared" si="15"/>
        <v/>
      </c>
      <c r="AP56" s="427">
        <f t="shared" si="16"/>
        <v>17.068965517241381</v>
      </c>
      <c r="AQ56" s="182">
        <f t="shared" si="17"/>
        <v>0.6827586206896552</v>
      </c>
      <c r="AR56" s="176">
        <v>6</v>
      </c>
      <c r="AS56" s="181">
        <f t="shared" si="18"/>
        <v>69.905956112852664</v>
      </c>
      <c r="AT56" s="183" t="str">
        <f>IF(A56=1,IF(OR(AND(E56=1,'Ответы учащихся'!AB56=0.15),AND(E56=2,'Ответы учащихся'!AB56=-2)),1,IF('Ответы учащихся'!AB56="N",'Ответы учащихся'!AB56,0)),"")</f>
        <v/>
      </c>
      <c r="AU56" s="176" t="str">
        <f>IF(A56=1,IF(OR(AND(E56=1,'Ответы учащихся'!AC56="м/с"),AND(E56=2,'Ответы учащихся'!AC56="mV0")),1,IF('Ответы учащихся'!AB56="N",'Ответы учащихся'!AB56,0)),"")</f>
        <v/>
      </c>
      <c r="AV56" s="176" t="str">
        <f>IF(A56=1,IF(OR(AND(E56=1,'Ответы учащихся'!AD56=-6),AND(E56=2,'Ответы учащихся'!AD56=-10)),1,IF('Ответы учащихся'!AE56="N",'Ответы учащихся'!AE56,0)),"")</f>
        <v/>
      </c>
      <c r="AW56" s="176" t="str">
        <f>IF(A56=1,IF(OR(AND(E56=1,'Ответы учащихся'!AE56="Нм"),AND(E56=2,'Ответы учащихся'!AE56="Нм")),1,IF('Ответы учащихся'!AE56="N",'Ответы учащихся'!AE56,0)),"")</f>
        <v/>
      </c>
      <c r="AX56" s="176" t="str">
        <f>IF(A56=1,IF(OR(AND(E56=1,'Ответы учащихся'!AF56=250),AND(E56=2,'Ответы учащихся'!AF56=500)),1,IF('Ответы учащихся'!AF56="N",'Ответы учащихся'!AF56,0)),"")</f>
        <v/>
      </c>
      <c r="AY56" s="176" t="str">
        <f>IF(A56=1,IF(OR(AND(E56=1,'Ответы учащихся'!AG56="м"),AND(E56=2,'Ответы учащихся'!AG56="Па")),1,IF('Ответы учащихся'!AF56="N",'Ответы учащихся'!AF56,0)),"")</f>
        <v/>
      </c>
      <c r="AZ56" s="177" t="str">
        <f>IF(E56=1,(IF('Ответы учащихся'!N56=3,1,IF('Ответы учащихся'!N56="N",'Ответы учащихся'!N56,0))),"")</f>
        <v/>
      </c>
      <c r="BA56" s="178" t="str">
        <f>IF(E56=2,IF('Ответы учащихся'!N56=1,1,(IF('Ответы учащихся'!N56="N",'Ответы учащихся'!N56,0))),"")</f>
        <v/>
      </c>
      <c r="BB56" s="179" t="str">
        <f>IF(E56=1,IF('Ответы учащихся'!O56=3,1,IF('Ответы учащихся'!O56="N",'Ответы учащихся'!O56,0)),"")</f>
        <v/>
      </c>
      <c r="BC56" s="178" t="str">
        <f>IF(E56=2,IF('Ответы учащихся'!O56=2,1,IF('Ответы учащихся'!O56="N",'Ответы учащихся'!O56,0)),"")</f>
        <v/>
      </c>
      <c r="BD56" s="179" t="str">
        <f>IF(E56=1,IF('Ответы учащихся'!P56=1,1,IF('Ответы учащихся'!P56="N",'Ответы учащихся'!P56,0)),"")</f>
        <v/>
      </c>
      <c r="BE56" s="178" t="str">
        <f>IF(E56=2,IF('Ответы учащихся'!P56=1,1,IF('Ответы учащихся'!P56="N",'Ответы учащихся'!P56,0)),"")</f>
        <v/>
      </c>
      <c r="BF56" s="176"/>
      <c r="BG56" s="176"/>
      <c r="BH56" s="176"/>
      <c r="BI56" s="176"/>
      <c r="BJ56" s="6"/>
      <c r="BK56" s="6"/>
      <c r="BL56" s="6"/>
      <c r="BM56" s="6"/>
      <c r="BN56" s="6"/>
      <c r="BO56" s="6"/>
    </row>
    <row r="57" spans="1:87" ht="12.75" customHeight="1">
      <c r="A57" s="12">
        <f>IF('СПИСОК КЛАССА'!J57&gt;0,1,0)</f>
        <v>0</v>
      </c>
      <c r="B57" s="313">
        <v>38</v>
      </c>
      <c r="C57" s="314" t="str">
        <f>IF(NOT(ISBLANK('СПИСОК КЛАССА'!C57)),'СПИСОК КЛАССА'!C57,"")</f>
        <v/>
      </c>
      <c r="D57" s="314" t="str">
        <f>IF(NOT(ISBLANK('СПИСОК КЛАССА'!D57)),IF($A57=1,'СПИСОК КЛАССА'!D57, "УЧЕНИК НЕ ВЫПОЛНЯЛ РАБОТУ"),"")</f>
        <v/>
      </c>
      <c r="E57" s="287" t="str">
        <f>IF($C57&lt;&gt;"",'СПИСОК КЛАССА'!J57,"")</f>
        <v/>
      </c>
      <c r="F57" s="441" t="str">
        <f>IF(AND(OR($C57&lt;&gt;"",$D57&lt;&gt;""),$A57=1,$AJ$6="ДА"),(IF(A57=1,IF(OR(AND(E57=1,'Ответы учащихся'!E57=1),AND(E57=2,'Ответы учащихся'!E57=3)),1,IF('Ответы учащихся'!E57="N",'Ответы учащихся'!E57,0)),"")),"")</f>
        <v/>
      </c>
      <c r="G57" s="442" t="str">
        <f>IF(AND(OR($C57&lt;&gt;"",$D57&lt;&gt;""),$A57=1,$AJ$6="ДА"),(IF(A57=1,IF(OR(AND(E57=1,'Ответы учащихся'!F57=2),AND(E57=2,'Ответы учащихся'!F57=3)),1,IF('Ответы учащихся'!F57="N",'Ответы учащихся'!F57,0)),"")),"")</f>
        <v/>
      </c>
      <c r="H57" s="304" t="str">
        <f>IF(AND(OR($C57&lt;&gt;"",$D57&lt;&gt;""),$A57=1,$AJ$6="ДА"),IF(A57=1,IF(OR(AND(E57=1,'Ответы учащихся'!G57="GIRL"),AND(E57=2,'Ответы учащихся'!G57="YEARS")),1,IF('Ответы учащихся'!G57="N",'Ответы учащихся'!G57,0)),""),"")</f>
        <v/>
      </c>
      <c r="I57" s="98" t="str">
        <f>IF(AND(OR($C57&lt;&gt;"",$D57&lt;&gt;""),$A57=1,$AJ$6="ДА"),IF(A57=1,IF(OR(AND(E57=1,'Ответы учащихся'!H57="SHOUTED"),AND(E57=2,'Ответы учащихся'!H57="HER")),1,IF('Ответы учащихся'!H57="N",'Ответы учащихся'!H57,0)),""),"")</f>
        <v/>
      </c>
      <c r="J57" s="98" t="str">
        <f>IF(AND(OR($C57&lt;&gt;"",$D57&lt;&gt;""),$A57=1,$AJ$6="ДА"),IF(A57=1,IF(OR(AND(E57=1,'Ответы учащихся'!I57="ZOO"),AND(E57=2,'Ответы учащихся'!I57="HUSBAND")),1,IF('Ответы учащихся'!I57="N",'Ответы учащихся'!I57,0)),""),"")</f>
        <v/>
      </c>
      <c r="K57" s="98" t="str">
        <f>IF(AND(OR($C57&lt;&gt;"",$D57&lt;&gt;""),$A57=1,$AJ$6="ДА"),IF(A57=1,IF(OR(AND(E57=1,'Ответы учащихся'!J57="AT"),AND(E57=2,'Ответы учащихся'!J57="LIVE")),1,IF('Ответы учащихся'!J57="N",'Ответы учащихся'!J57,0)),""),"")</f>
        <v/>
      </c>
      <c r="L57" s="98" t="str">
        <f>IF(AND(OR($C57&lt;&gt;"",$D57&lt;&gt;""),$A57=1,$AJ$6="ДА"),IF(A57=1,IF(OR(AND(E57=1,'Ответы учащихся'!K57="SAID"),AND(E57=2,'Ответы учащихся'!K57="MUCH")),1,IF('Ответы учащихся'!K57="N",'Ответы учащихся'!K57,0)),""),"")</f>
        <v/>
      </c>
      <c r="M57" s="98" t="str">
        <f>IF(AND(OR($C57&lt;&gt;"",$D57&lt;&gt;""),$A57=1,$AJ$6="ДА"),IF(A57=1,IF(OR(AND(E57=1,'Ответы учащихся'!L57="MORNING"),AND(E57=2,'Ответы учащихся'!L57="SHEEP")),1,IF('Ответы учащихся'!L57="N",'Ответы учащихся'!L57,0)),""),"")</f>
        <v/>
      </c>
      <c r="N57" s="98" t="str">
        <f>IF(AND(OR($C57&lt;&gt;"",$D57&lt;&gt;""),$A57=1,$AJ$6="ДА"),IF(A57=1,IF(OR(AND(E57=1,'Ответы учащихся'!M57="MUCH"),AND(E57=2,'Ответы учащихся'!M57="SELL")),1,IF('Ответы учащихся'!M57="N",'Ответы учащихся'!M57,0)),""),"")</f>
        <v/>
      </c>
      <c r="O57" s="131" t="str">
        <f>IF(AND(OR($C57&lt;&gt;"",$D57&lt;&gt;""),$A57=1,$AJ$6="ДА"),IF(A57=1,IF(OR(AND(E57=1,'Ответы учащихся'!N57="LIKE"),AND(E57=2,'Ответы учащихся'!N57="IN")),1,IF('Ответы учащихся'!N57="N",'Ответы учащихся'!N57,0)),""),"")</f>
        <v/>
      </c>
      <c r="P57" s="98" t="str">
        <f>IF(AND(OR($C57&lt;&gt;"",$D57&lt;&gt;""),$A57=1,$AJ$6="ДА"),IF(A57=1,IF(OR(AND(E57=1,'Ответы учащихся'!O57="ANIMALS"),AND(E57=2,'Ответы учащихся'!O57="CLOTHES")),1,IF('Ответы учащихся'!O57="N",'Ответы учащихся'!O57,0)),""),"")</f>
        <v/>
      </c>
      <c r="Q57" s="98" t="str">
        <f>IF(AND(OR($C57&lt;&gt;"",$D57&lt;&gt;""),$A57=1,$AJ$6="ДА"),IF(A57=1,IF(OR(AND(E57=1,'Ответы учащихся'!P57="WE"),AND(E57=2,'Ответы учащихся'!P57="GOES")),1,IF('Ответы учащихся'!P57="N",'Ответы учащихся'!P57,0)),""),"")</f>
        <v/>
      </c>
      <c r="R57" s="98" t="str">
        <f>IF(AND(OR($C57&lt;&gt;"",$D57&lt;&gt;""),$A57=1,$AJ$6="ДА"),IF(A57=1,IF(OR(AND(E57=1,'Ответы учащихся'!Q57="ASKED"),AND(E57=2,'Ответы учащихся'!Q57="MADE")),1,IF('Ответы учащихся'!Q57="N",'Ответы учащихся'!Q57,0)),""),"")</f>
        <v/>
      </c>
      <c r="S57" s="98" t="str">
        <f>IF(AND(OR($C57&lt;&gt;"",$D57&lt;&gt;""),$A57=1,$AJ$6="ДА"),IF(A57=1,IF(OR(AND(E57=1,'Ответы учащихся'!R57="LOST"),AND(E57=2,'Ответы учащихся'!R57="GOT")),1,IF('Ответы учащихся'!R57="N",'Ответы учащихся'!R57,0)),""),"")</f>
        <v/>
      </c>
      <c r="T57" s="98" t="str">
        <f>IF(AND(OR($C57&lt;&gt;"",$D57&lt;&gt;""),$A57=1,$AJ$6="ДА"),IF(A57=1,IF(OR(AND(E57=1,'Ответы учащихся'!S57="GOT"),AND(E57=2,'Ответы учащихся'!S57="CAME")),1,IF('Ответы учащихся'!S57="N",'Ответы учащихся'!S57,0)),""),"")</f>
        <v/>
      </c>
      <c r="U57" s="98" t="str">
        <f>IF(AND(OR($C57&lt;&gt;"",$D57&lt;&gt;""),$A57=1,$AJ$6="ДА"),IF(A57=1,IF(OR(AND(E57=1,'Ответы учащихся'!T57="SAW"),AND(E57=2,'Ответы учащихся'!T57="OPENED")),1,IF('Ответы учащихся'!T57="N",'Ответы учащихся'!T57,0)),""),"")</f>
        <v/>
      </c>
      <c r="V57" s="98" t="str">
        <f>IF(AND(OR($C57&lt;&gt;"",$D57&lt;&gt;""),$A57=1,$AJ$6="ДА"),IF(A57=1,IF(OR(AND(E57=1,'Ответы учащихся'!U57="WAS"),AND(E57=2,'Ответы учащихся'!U57="TRIED")),1,IF('Ответы учащихся'!U57="N",'Ответы учащихся'!U57,0)),""),"")</f>
        <v/>
      </c>
      <c r="W57" s="98" t="str">
        <f>IF(AND(OR($C57&lt;&gt;"",$D57&lt;&gt;""),$A57=1,$AJ$6="ДА"),IF(A57=1,IF(OR(AND(E57=1,'Ответы учащихся'!V57="KNEW"),AND(E57=2,'Ответы учащихся'!V57="SAW")),1,IF('Ответы учащихся'!V57="N",'Ответы учащихся'!V57,0)),""),"")</f>
        <v/>
      </c>
      <c r="X57" s="98" t="str">
        <f>IF(AND(OR($C57&lt;&gt;"",$D57&lt;&gt;""),$A57=1,$AJ$6="ДА"),IF(A57=1,IF(OR(AND(E57=1,'Ответы учащихся'!W57="BROKE"),AND(E57=2,'Ответы учащихся'!W57="WENT")),1,IF('Ответы учащихся'!W57="N",'Ответы учащихся'!W57,0)),""),"")</f>
        <v/>
      </c>
      <c r="Y57" s="98" t="str">
        <f>IF(AND(OR($C57&lt;&gt;"",$D57&lt;&gt;""),$A57=1,$AJ$6="ДА"),IF(A57=1,IF(OR(AND(E57=1,'Ответы учащихся'!X57="CAME"),AND(E57=2,'Ответы учащихся'!X57="BEGAN")),1,IF('Ответы учащихся'!X57="N",'Ответы учащихся'!X57,0)),""),"")</f>
        <v/>
      </c>
      <c r="Z57" s="98" t="str">
        <f>IF(AND(OR($C57&lt;&gt;"",$D57&lt;&gt;""),$A57=1,$AJ$6="ДА"),IF(A57=1,IF(OR(AND(E57=1,'Ответы учащихся'!Y57="RODE"),AND(E57=2,'Ответы учащихся'!Y57="PUT")),1,IF('Ответы учащихся'!Y57="N",'Ответы учащихся'!Y57,0)),""),"")</f>
        <v/>
      </c>
      <c r="AA57" s="305" t="str">
        <f>IF(AND(OR($C57&lt;&gt;"",$D57&lt;&gt;""),$A57=1,$AJ$6="ДА"),IF(A57=1,IF(OR(AND(E57=1,'Ответы учащихся'!Z57="TOOK"),AND(E57=2,'Ответы учащихся'!Z57="LEFT")),1,IF('Ответы учащихся'!Z57="N",'Ответы учащихся'!Z57,0)),""),"")</f>
        <v/>
      </c>
      <c r="AB57" s="477" t="str">
        <f>IF(AND(OR($C57&lt;&gt;"",$D57&lt;&gt;""),$A57=1,$AJ$6="ДА"),IF(OR('Ответы учащихся'!AA57="N",'Ответы учащихся'!AL57="N"),"N",('Ответы учащихся'!AA57+'Ответы учащихся'!AL57)),"")</f>
        <v/>
      </c>
      <c r="AC57" s="310" t="b">
        <f t="shared" si="5"/>
        <v>0</v>
      </c>
      <c r="AD57" s="274" t="b">
        <f t="shared" si="6"/>
        <v>0</v>
      </c>
      <c r="AE57" s="274" t="b">
        <f t="shared" si="7"/>
        <v>0</v>
      </c>
      <c r="AF57" s="274" t="b">
        <f t="shared" si="8"/>
        <v>0</v>
      </c>
      <c r="AG57" s="274" t="b">
        <f>IF(OR('Ответы учащихся'!AA57="N",'Ответы учащихся'!AL57="N"),1)</f>
        <v>0</v>
      </c>
      <c r="AH57" s="289" t="str">
        <f>IF(AND(OR($C57&lt;&gt;"",$D57&lt;&gt;""),$A57=1,$AJ$6="ДА"),IF(A57=1,IF('Ответы учащихся'!AK57="N",'Ответы учащихся'!AK57,AF57+AG57),""),"")</f>
        <v/>
      </c>
      <c r="AI57" s="461" t="str">
        <f t="shared" si="9"/>
        <v/>
      </c>
      <c r="AJ57" s="128" t="str">
        <f t="shared" si="10"/>
        <v/>
      </c>
      <c r="AK57" s="133" t="str">
        <f t="shared" si="11"/>
        <v/>
      </c>
      <c r="AL57" s="269" t="str">
        <f t="shared" si="12"/>
        <v/>
      </c>
      <c r="AM57" s="133" t="str">
        <f t="shared" si="13"/>
        <v/>
      </c>
      <c r="AN57" s="269" t="str">
        <f t="shared" si="14"/>
        <v/>
      </c>
      <c r="AO57" s="435" t="str">
        <f t="shared" si="15"/>
        <v/>
      </c>
      <c r="AP57" s="427">
        <f t="shared" si="16"/>
        <v>17.068965517241381</v>
      </c>
      <c r="AQ57" s="182">
        <f t="shared" si="17"/>
        <v>0.6827586206896552</v>
      </c>
      <c r="AR57" s="176">
        <v>6</v>
      </c>
      <c r="AS57" s="181">
        <f t="shared" si="18"/>
        <v>69.905956112852664</v>
      </c>
      <c r="AT57" s="183" t="str">
        <f>IF(A57=1,IF(OR(AND(E57=1,'Ответы учащихся'!AB57=0.15),AND(E57=2,'Ответы учащихся'!AB57=-2)),1,IF('Ответы учащихся'!AB57="N",'Ответы учащихся'!AB57,0)),"")</f>
        <v/>
      </c>
      <c r="AU57" s="176" t="str">
        <f>IF(A57=1,IF(OR(AND(E57=1,'Ответы учащихся'!AC57="м/с"),AND(E57=2,'Ответы учащихся'!AC57="mV0")),1,IF('Ответы учащихся'!AB57="N",'Ответы учащихся'!AB57,0)),"")</f>
        <v/>
      </c>
      <c r="AV57" s="176" t="str">
        <f>IF(A57=1,IF(OR(AND(E57=1,'Ответы учащихся'!AD57=-6),AND(E57=2,'Ответы учащихся'!AD57=-10)),1,IF('Ответы учащихся'!AE57="N",'Ответы учащихся'!AE57,0)),"")</f>
        <v/>
      </c>
      <c r="AW57" s="176" t="str">
        <f>IF(A57=1,IF(OR(AND(E57=1,'Ответы учащихся'!AE57="Нм"),AND(E57=2,'Ответы учащихся'!AE57="Нм")),1,IF('Ответы учащихся'!AE57="N",'Ответы учащихся'!AE57,0)),"")</f>
        <v/>
      </c>
      <c r="AX57" s="176" t="str">
        <f>IF(A57=1,IF(OR(AND(E57=1,'Ответы учащихся'!AF57=250),AND(E57=2,'Ответы учащихся'!AF57=500)),1,IF('Ответы учащихся'!AF57="N",'Ответы учащихся'!AF57,0)),"")</f>
        <v/>
      </c>
      <c r="AY57" s="176" t="str">
        <f>IF(A57=1,IF(OR(AND(E57=1,'Ответы учащихся'!AG57="м"),AND(E57=2,'Ответы учащихся'!AG57="Па")),1,IF('Ответы учащихся'!AF57="N",'Ответы учащихся'!AF57,0)),"")</f>
        <v/>
      </c>
      <c r="AZ57" s="177" t="str">
        <f>IF(E57=1,(IF('Ответы учащихся'!N57=3,1,IF('Ответы учащихся'!N57="N",'Ответы учащихся'!N57,0))),"")</f>
        <v/>
      </c>
      <c r="BA57" s="178" t="str">
        <f>IF(E57=2,IF('Ответы учащихся'!N57=1,1,(IF('Ответы учащихся'!N57="N",'Ответы учащихся'!N57,0))),"")</f>
        <v/>
      </c>
      <c r="BB57" s="179" t="str">
        <f>IF(E57=1,IF('Ответы учащихся'!O57=3,1,IF('Ответы учащихся'!O57="N",'Ответы учащихся'!O57,0)),"")</f>
        <v/>
      </c>
      <c r="BC57" s="178" t="str">
        <f>IF(E57=2,IF('Ответы учащихся'!O57=2,1,IF('Ответы учащихся'!O57="N",'Ответы учащихся'!O57,0)),"")</f>
        <v/>
      </c>
      <c r="BD57" s="179" t="str">
        <f>IF(E57=1,IF('Ответы учащихся'!P57=1,1,IF('Ответы учащихся'!P57="N",'Ответы учащихся'!P57,0)),"")</f>
        <v/>
      </c>
      <c r="BE57" s="178" t="str">
        <f>IF(E57=2,IF('Ответы учащихся'!P57=1,1,IF('Ответы учащихся'!P57="N",'Ответы учащихся'!P57,0)),"")</f>
        <v/>
      </c>
      <c r="BF57" s="176"/>
      <c r="BG57" s="176"/>
      <c r="BH57" s="176"/>
      <c r="BI57" s="176"/>
      <c r="BJ57" s="6"/>
      <c r="BK57" s="6"/>
      <c r="BL57" s="6"/>
      <c r="BM57" s="6"/>
      <c r="BN57" s="6"/>
      <c r="BO57" s="6"/>
    </row>
    <row r="58" spans="1:87" ht="12.75" customHeight="1">
      <c r="A58" s="12">
        <f>IF('СПИСОК КЛАССА'!J58&gt;0,1,0)</f>
        <v>0</v>
      </c>
      <c r="B58" s="313">
        <v>39</v>
      </c>
      <c r="C58" s="314" t="str">
        <f>IF(NOT(ISBLANK('СПИСОК КЛАССА'!C58)),'СПИСОК КЛАССА'!C58,"")</f>
        <v/>
      </c>
      <c r="D58" s="314" t="str">
        <f>IF(NOT(ISBLANK('СПИСОК КЛАССА'!D58)),IF($A58=1,'СПИСОК КЛАССА'!D58, "УЧЕНИК НЕ ВЫПОЛНЯЛ РАБОТУ"),"")</f>
        <v/>
      </c>
      <c r="E58" s="287" t="str">
        <f>IF($C58&lt;&gt;"",'СПИСОК КЛАССА'!J58,"")</f>
        <v/>
      </c>
      <c r="F58" s="441" t="str">
        <f>IF(AND(OR($C58&lt;&gt;"",$D58&lt;&gt;""),$A58=1,$AJ$6="ДА"),(IF(A58=1,IF(OR(AND(E58=1,'Ответы учащихся'!E58=1),AND(E58=2,'Ответы учащихся'!E58=3)),1,IF('Ответы учащихся'!E58="N",'Ответы учащихся'!E58,0)),"")),"")</f>
        <v/>
      </c>
      <c r="G58" s="442" t="str">
        <f>IF(AND(OR($C58&lt;&gt;"",$D58&lt;&gt;""),$A58=1,$AJ$6="ДА"),(IF(A58=1,IF(OR(AND(E58=1,'Ответы учащихся'!F58=2),AND(E58=2,'Ответы учащихся'!F58=3)),1,IF('Ответы учащихся'!F58="N",'Ответы учащихся'!F58,0)),"")),"")</f>
        <v/>
      </c>
      <c r="H58" s="304" t="str">
        <f>IF(AND(OR($C58&lt;&gt;"",$D58&lt;&gt;""),$A58=1,$AJ$6="ДА"),IF(A58=1,IF(OR(AND(E58=1,'Ответы учащихся'!G58="GIRL"),AND(E58=2,'Ответы учащихся'!G58="YEARS")),1,IF('Ответы учащихся'!G58="N",'Ответы учащихся'!G58,0)),""),"")</f>
        <v/>
      </c>
      <c r="I58" s="98" t="str">
        <f>IF(AND(OR($C58&lt;&gt;"",$D58&lt;&gt;""),$A58=1,$AJ$6="ДА"),IF(A58=1,IF(OR(AND(E58=1,'Ответы учащихся'!H58="SHOUTED"),AND(E58=2,'Ответы учащихся'!H58="HER")),1,IF('Ответы учащихся'!H58="N",'Ответы учащихся'!H58,0)),""),"")</f>
        <v/>
      </c>
      <c r="J58" s="98" t="str">
        <f>IF(AND(OR($C58&lt;&gt;"",$D58&lt;&gt;""),$A58=1,$AJ$6="ДА"),IF(A58=1,IF(OR(AND(E58=1,'Ответы учащихся'!I58="ZOO"),AND(E58=2,'Ответы учащихся'!I58="HUSBAND")),1,IF('Ответы учащихся'!I58="N",'Ответы учащихся'!I58,0)),""),"")</f>
        <v/>
      </c>
      <c r="K58" s="98" t="str">
        <f>IF(AND(OR($C58&lt;&gt;"",$D58&lt;&gt;""),$A58=1,$AJ$6="ДА"),IF(A58=1,IF(OR(AND(E58=1,'Ответы учащихся'!J58="AT"),AND(E58=2,'Ответы учащихся'!J58="LIVE")),1,IF('Ответы учащихся'!J58="N",'Ответы учащихся'!J58,0)),""),"")</f>
        <v/>
      </c>
      <c r="L58" s="98" t="str">
        <f>IF(AND(OR($C58&lt;&gt;"",$D58&lt;&gt;""),$A58=1,$AJ$6="ДА"),IF(A58=1,IF(OR(AND(E58=1,'Ответы учащихся'!K58="SAID"),AND(E58=2,'Ответы учащихся'!K58="MUCH")),1,IF('Ответы учащихся'!K58="N",'Ответы учащихся'!K58,0)),""),"")</f>
        <v/>
      </c>
      <c r="M58" s="98" t="str">
        <f>IF(AND(OR($C58&lt;&gt;"",$D58&lt;&gt;""),$A58=1,$AJ$6="ДА"),IF(A58=1,IF(OR(AND(E58=1,'Ответы учащихся'!L58="MORNING"),AND(E58=2,'Ответы учащихся'!L58="SHEEP")),1,IF('Ответы учащихся'!L58="N",'Ответы учащихся'!L58,0)),""),"")</f>
        <v/>
      </c>
      <c r="N58" s="98" t="str">
        <f>IF(AND(OR($C58&lt;&gt;"",$D58&lt;&gt;""),$A58=1,$AJ$6="ДА"),IF(A58=1,IF(OR(AND(E58=1,'Ответы учащихся'!M58="MUCH"),AND(E58=2,'Ответы учащихся'!M58="SELL")),1,IF('Ответы учащихся'!M58="N",'Ответы учащихся'!M58,0)),""),"")</f>
        <v/>
      </c>
      <c r="O58" s="131" t="str">
        <f>IF(AND(OR($C58&lt;&gt;"",$D58&lt;&gt;""),$A58=1,$AJ$6="ДА"),IF(A58=1,IF(OR(AND(E58=1,'Ответы учащихся'!N58="LIKE"),AND(E58=2,'Ответы учащихся'!N58="IN")),1,IF('Ответы учащихся'!N58="N",'Ответы учащихся'!N58,0)),""),"")</f>
        <v/>
      </c>
      <c r="P58" s="98" t="str">
        <f>IF(AND(OR($C58&lt;&gt;"",$D58&lt;&gt;""),$A58=1,$AJ$6="ДА"),IF(A58=1,IF(OR(AND(E58=1,'Ответы учащихся'!O58="ANIMALS"),AND(E58=2,'Ответы учащихся'!O58="CLOTHES")),1,IF('Ответы учащихся'!O58="N",'Ответы учащихся'!O58,0)),""),"")</f>
        <v/>
      </c>
      <c r="Q58" s="98" t="str">
        <f>IF(AND(OR($C58&lt;&gt;"",$D58&lt;&gt;""),$A58=1,$AJ$6="ДА"),IF(A58=1,IF(OR(AND(E58=1,'Ответы учащихся'!P58="WE"),AND(E58=2,'Ответы учащихся'!P58="GOES")),1,IF('Ответы учащихся'!P58="N",'Ответы учащихся'!P58,0)),""),"")</f>
        <v/>
      </c>
      <c r="R58" s="98" t="str">
        <f>IF(AND(OR($C58&lt;&gt;"",$D58&lt;&gt;""),$A58=1,$AJ$6="ДА"),IF(A58=1,IF(OR(AND(E58=1,'Ответы учащихся'!Q58="ASKED"),AND(E58=2,'Ответы учащихся'!Q58="MADE")),1,IF('Ответы учащихся'!Q58="N",'Ответы учащихся'!Q58,0)),""),"")</f>
        <v/>
      </c>
      <c r="S58" s="98" t="str">
        <f>IF(AND(OR($C58&lt;&gt;"",$D58&lt;&gt;""),$A58=1,$AJ$6="ДА"),IF(A58=1,IF(OR(AND(E58=1,'Ответы учащихся'!R58="LOST"),AND(E58=2,'Ответы учащихся'!R58="GOT")),1,IF('Ответы учащихся'!R58="N",'Ответы учащихся'!R58,0)),""),"")</f>
        <v/>
      </c>
      <c r="T58" s="98" t="str">
        <f>IF(AND(OR($C58&lt;&gt;"",$D58&lt;&gt;""),$A58=1,$AJ$6="ДА"),IF(A58=1,IF(OR(AND(E58=1,'Ответы учащихся'!S58="GOT"),AND(E58=2,'Ответы учащихся'!S58="CAME")),1,IF('Ответы учащихся'!S58="N",'Ответы учащихся'!S58,0)),""),"")</f>
        <v/>
      </c>
      <c r="U58" s="98" t="str">
        <f>IF(AND(OR($C58&lt;&gt;"",$D58&lt;&gt;""),$A58=1,$AJ$6="ДА"),IF(A58=1,IF(OR(AND(E58=1,'Ответы учащихся'!T58="SAW"),AND(E58=2,'Ответы учащихся'!T58="OPENED")),1,IF('Ответы учащихся'!T58="N",'Ответы учащихся'!T58,0)),""),"")</f>
        <v/>
      </c>
      <c r="V58" s="98" t="str">
        <f>IF(AND(OR($C58&lt;&gt;"",$D58&lt;&gt;""),$A58=1,$AJ$6="ДА"),IF(A58=1,IF(OR(AND(E58=1,'Ответы учащихся'!U58="WAS"),AND(E58=2,'Ответы учащихся'!U58="TRIED")),1,IF('Ответы учащихся'!U58="N",'Ответы учащихся'!U58,0)),""),"")</f>
        <v/>
      </c>
      <c r="W58" s="98" t="str">
        <f>IF(AND(OR($C58&lt;&gt;"",$D58&lt;&gt;""),$A58=1,$AJ$6="ДА"),IF(A58=1,IF(OR(AND(E58=1,'Ответы учащихся'!V58="KNEW"),AND(E58=2,'Ответы учащихся'!V58="SAW")),1,IF('Ответы учащихся'!V58="N",'Ответы учащихся'!V58,0)),""),"")</f>
        <v/>
      </c>
      <c r="X58" s="98" t="str">
        <f>IF(AND(OR($C58&lt;&gt;"",$D58&lt;&gt;""),$A58=1,$AJ$6="ДА"),IF(A58=1,IF(OR(AND(E58=1,'Ответы учащихся'!W58="BROKE"),AND(E58=2,'Ответы учащихся'!W58="WENT")),1,IF('Ответы учащихся'!W58="N",'Ответы учащихся'!W58,0)),""),"")</f>
        <v/>
      </c>
      <c r="Y58" s="98" t="str">
        <f>IF(AND(OR($C58&lt;&gt;"",$D58&lt;&gt;""),$A58=1,$AJ$6="ДА"),IF(A58=1,IF(OR(AND(E58=1,'Ответы учащихся'!X58="CAME"),AND(E58=2,'Ответы учащихся'!X58="BEGAN")),1,IF('Ответы учащихся'!X58="N",'Ответы учащихся'!X58,0)),""),"")</f>
        <v/>
      </c>
      <c r="Z58" s="98" t="str">
        <f>IF(AND(OR($C58&lt;&gt;"",$D58&lt;&gt;""),$A58=1,$AJ$6="ДА"),IF(A58=1,IF(OR(AND(E58=1,'Ответы учащихся'!Y58="RODE"),AND(E58=2,'Ответы учащихся'!Y58="PUT")),1,IF('Ответы учащихся'!Y58="N",'Ответы учащихся'!Y58,0)),""),"")</f>
        <v/>
      </c>
      <c r="AA58" s="305" t="str">
        <f>IF(AND(OR($C58&lt;&gt;"",$D58&lt;&gt;""),$A58=1,$AJ$6="ДА"),IF(A58=1,IF(OR(AND(E58=1,'Ответы учащихся'!Z58="TOOK"),AND(E58=2,'Ответы учащихся'!Z58="LEFT")),1,IF('Ответы учащихся'!Z58="N",'Ответы учащихся'!Z58,0)),""),"")</f>
        <v/>
      </c>
      <c r="AB58" s="477" t="str">
        <f>IF(AND(OR($C58&lt;&gt;"",$D58&lt;&gt;""),$A58=1,$AJ$6="ДА"),IF(OR('Ответы учащихся'!AA58="N",'Ответы учащихся'!AL58="N"),"N",('Ответы учащихся'!AA58+'Ответы учащихся'!AL58)),"")</f>
        <v/>
      </c>
      <c r="AC58" s="310" t="b">
        <f t="shared" si="5"/>
        <v>0</v>
      </c>
      <c r="AD58" s="274" t="b">
        <f t="shared" si="6"/>
        <v>0</v>
      </c>
      <c r="AE58" s="274" t="b">
        <f t="shared" si="7"/>
        <v>0</v>
      </c>
      <c r="AF58" s="274" t="b">
        <f t="shared" si="8"/>
        <v>0</v>
      </c>
      <c r="AG58" s="274" t="b">
        <f>IF(OR('Ответы учащихся'!AA58="N",'Ответы учащихся'!AL58="N"),1)</f>
        <v>0</v>
      </c>
      <c r="AH58" s="289" t="str">
        <f>IF(AND(OR($C58&lt;&gt;"",$D58&lt;&gt;""),$A58=1,$AJ$6="ДА"),IF(A58=1,IF('Ответы учащихся'!AK58="N",'Ответы учащихся'!AK58,AF58+AG58),""),"")</f>
        <v/>
      </c>
      <c r="AI58" s="461" t="str">
        <f t="shared" si="9"/>
        <v/>
      </c>
      <c r="AJ58" s="128" t="str">
        <f t="shared" si="10"/>
        <v/>
      </c>
      <c r="AK58" s="133" t="str">
        <f t="shared" si="11"/>
        <v/>
      </c>
      <c r="AL58" s="269" t="str">
        <f t="shared" si="12"/>
        <v/>
      </c>
      <c r="AM58" s="133" t="str">
        <f t="shared" si="13"/>
        <v/>
      </c>
      <c r="AN58" s="269" t="str">
        <f t="shared" si="14"/>
        <v/>
      </c>
      <c r="AO58" s="435" t="str">
        <f t="shared" si="15"/>
        <v/>
      </c>
      <c r="AP58" s="427">
        <f t="shared" si="16"/>
        <v>17.068965517241381</v>
      </c>
      <c r="AQ58" s="182">
        <f t="shared" si="17"/>
        <v>0.6827586206896552</v>
      </c>
      <c r="AR58" s="176">
        <v>6</v>
      </c>
      <c r="AS58" s="181">
        <f t="shared" si="18"/>
        <v>69.905956112852664</v>
      </c>
      <c r="AT58" s="183" t="str">
        <f>IF(A58=1,IF(OR(AND(E58=1,'Ответы учащихся'!AB58=0.15),AND(E58=2,'Ответы учащихся'!AB58=-2)),1,IF('Ответы учащихся'!AB58="N",'Ответы учащихся'!AB58,0)),"")</f>
        <v/>
      </c>
      <c r="AU58" s="176" t="str">
        <f>IF(A58=1,IF(OR(AND(E58=1,'Ответы учащихся'!AC58="м/с"),AND(E58=2,'Ответы учащихся'!AC58="mV0")),1,IF('Ответы учащихся'!AB58="N",'Ответы учащихся'!AB58,0)),"")</f>
        <v/>
      </c>
      <c r="AV58" s="176" t="str">
        <f>IF(A58=1,IF(OR(AND(E58=1,'Ответы учащихся'!AD58=-6),AND(E58=2,'Ответы учащихся'!AD58=-10)),1,IF('Ответы учащихся'!AE58="N",'Ответы учащихся'!AE58,0)),"")</f>
        <v/>
      </c>
      <c r="AW58" s="176" t="str">
        <f>IF(A58=1,IF(OR(AND(E58=1,'Ответы учащихся'!AE58="Нм"),AND(E58=2,'Ответы учащихся'!AE58="Нм")),1,IF('Ответы учащихся'!AE58="N",'Ответы учащихся'!AE58,0)),"")</f>
        <v/>
      </c>
      <c r="AX58" s="176" t="str">
        <f>IF(A58=1,IF(OR(AND(E58=1,'Ответы учащихся'!AF58=250),AND(E58=2,'Ответы учащихся'!AF58=500)),1,IF('Ответы учащихся'!AF58="N",'Ответы учащихся'!AF58,0)),"")</f>
        <v/>
      </c>
      <c r="AY58" s="176" t="str">
        <f>IF(A58=1,IF(OR(AND(E58=1,'Ответы учащихся'!AG58="м"),AND(E58=2,'Ответы учащихся'!AG58="Па")),1,IF('Ответы учащихся'!AF58="N",'Ответы учащихся'!AF58,0)),"")</f>
        <v/>
      </c>
      <c r="AZ58" s="177" t="str">
        <f>IF(E58=1,(IF('Ответы учащихся'!N58=3,1,IF('Ответы учащихся'!N58="N",'Ответы учащихся'!N58,0))),"")</f>
        <v/>
      </c>
      <c r="BA58" s="178" t="str">
        <f>IF(E58=2,IF('Ответы учащихся'!N58=1,1,(IF('Ответы учащихся'!N58="N",'Ответы учащихся'!N58,0))),"")</f>
        <v/>
      </c>
      <c r="BB58" s="179" t="str">
        <f>IF(E58=1,IF('Ответы учащихся'!O58=3,1,IF('Ответы учащихся'!O58="N",'Ответы учащихся'!O58,0)),"")</f>
        <v/>
      </c>
      <c r="BC58" s="178" t="str">
        <f>IF(E58=2,IF('Ответы учащихся'!O58=2,1,IF('Ответы учащихся'!O58="N",'Ответы учащихся'!O58,0)),"")</f>
        <v/>
      </c>
      <c r="BD58" s="179" t="str">
        <f>IF(E58=1,IF('Ответы учащихся'!P58=1,1,IF('Ответы учащихся'!P58="N",'Ответы учащихся'!P58,0)),"")</f>
        <v/>
      </c>
      <c r="BE58" s="178" t="str">
        <f>IF(E58=2,IF('Ответы учащихся'!P58=1,1,IF('Ответы учащихся'!P58="N",'Ответы учащихся'!P58,0)),"")</f>
        <v/>
      </c>
      <c r="BF58" s="176"/>
      <c r="BG58" s="176"/>
      <c r="BH58" s="176"/>
      <c r="BI58" s="176"/>
      <c r="BJ58" s="6"/>
      <c r="BK58" s="6"/>
      <c r="BL58" s="6"/>
      <c r="BM58" s="6"/>
      <c r="BN58" s="6"/>
      <c r="BO58" s="6"/>
    </row>
    <row r="59" spans="1:87" ht="12.75" customHeight="1" thickBot="1">
      <c r="A59" s="126">
        <f>IF('СПИСОК КЛАССА'!J59&gt;0,1,0)</f>
        <v>0</v>
      </c>
      <c r="B59" s="315">
        <v>40</v>
      </c>
      <c r="C59" s="316" t="str">
        <f>IF(NOT(ISBLANK('СПИСОК КЛАССА'!C59)),'СПИСОК КЛАССА'!C59,"")</f>
        <v/>
      </c>
      <c r="D59" s="316" t="str">
        <f>IF(NOT(ISBLANK('СПИСОК КЛАССА'!D59)),IF($A59=1,'СПИСОК КЛАССА'!D59, "УЧЕНИК НЕ ВЫПОЛНЯЛ РАБОТУ"),"")</f>
        <v/>
      </c>
      <c r="E59" s="288" t="str">
        <f>IF($C59&lt;&gt;"",'СПИСОК КЛАССА'!J59,"")</f>
        <v/>
      </c>
      <c r="F59" s="443" t="str">
        <f>IF(AND(OR($C59&lt;&gt;"",$D59&lt;&gt;""),$A59=1,$AJ$6="ДА"),(IF(A59=1,IF(OR(AND(E59=1,'Ответы учащихся'!E59=1),AND(E59=2,'Ответы учащихся'!E59=3)),1,IF('Ответы учащихся'!E59="N",'Ответы учащихся'!E59,0)),"")),"")</f>
        <v/>
      </c>
      <c r="G59" s="444" t="str">
        <f>IF(AND(OR($C59&lt;&gt;"",$D59&lt;&gt;""),$A59=1,$AJ$6="ДА"),(IF(A59=1,IF(OR(AND(E59=1,'Ответы учащихся'!F59=2),AND(E59=2,'Ответы учащихся'!F59=3)),1,IF('Ответы учащихся'!F59="N",'Ответы учащихся'!F59,0)),"")),"")</f>
        <v/>
      </c>
      <c r="H59" s="405" t="str">
        <f>IF(AND(OR($C59&lt;&gt;"",$D59&lt;&gt;""),$A59=1,$AJ$6="ДА"),IF(A59=1,IF(OR(AND(E59=1,'Ответы учащихся'!G59="GIRL"),AND(E59=2,'Ответы учащихся'!G59="YEARS")),1,IF('Ответы учащихся'!G59="N",'Ответы учащихся'!G59,0)),""),"")</f>
        <v/>
      </c>
      <c r="I59" s="406" t="str">
        <f>IF(AND(OR($C59&lt;&gt;"",$D59&lt;&gt;""),$A59=1,$AJ$6="ДА"),IF(A59=1,IF(OR(AND(E59=1,'Ответы учащихся'!H59="SHOUTED"),AND(E59=2,'Ответы учащихся'!H59="HER")),1,IF('Ответы учащихся'!H59="N",'Ответы учащихся'!H59,0)),""),"")</f>
        <v/>
      </c>
      <c r="J59" s="406" t="str">
        <f>IF(AND(OR($C59&lt;&gt;"",$D59&lt;&gt;""),$A59=1,$AJ$6="ДА"),IF(A59=1,IF(OR(AND(E59=1,'Ответы учащихся'!I59="ZOO"),AND(E59=2,'Ответы учащихся'!I59="HUSBAND")),1,IF('Ответы учащихся'!I59="N",'Ответы учащихся'!I59,0)),""),"")</f>
        <v/>
      </c>
      <c r="K59" s="406" t="str">
        <f>IF(AND(OR($C59&lt;&gt;"",$D59&lt;&gt;""),$A59=1,$AJ$6="ДА"),IF(A59=1,IF(OR(AND(E59=1,'Ответы учащихся'!J59="AT"),AND(E59=2,'Ответы учащихся'!J59="LIVE")),1,IF('Ответы учащихся'!J59="N",'Ответы учащихся'!J59,0)),""),"")</f>
        <v/>
      </c>
      <c r="L59" s="406" t="str">
        <f>IF(AND(OR($C59&lt;&gt;"",$D59&lt;&gt;""),$A59=1,$AJ$6="ДА"),IF(A59=1,IF(OR(AND(E59=1,'Ответы учащихся'!K59="SAID"),AND(E59=2,'Ответы учащихся'!K59="MUCH")),1,IF('Ответы учащихся'!K59="N",'Ответы учащихся'!K59,0)),""),"")</f>
        <v/>
      </c>
      <c r="M59" s="406" t="str">
        <f>IF(AND(OR($C59&lt;&gt;"",$D59&lt;&gt;""),$A59=1,$AJ$6="ДА"),IF(A59=1,IF(OR(AND(E59=1,'Ответы учащихся'!L59="MORNING"),AND(E59=2,'Ответы учащихся'!L59="SHEEP")),1,IF('Ответы учащихся'!L59="N",'Ответы учащихся'!L59,0)),""),"")</f>
        <v/>
      </c>
      <c r="N59" s="406" t="str">
        <f>IF(AND(OR($C59&lt;&gt;"",$D59&lt;&gt;""),$A59=1,$AJ$6="ДА"),IF(A59=1,IF(OR(AND(E59=1,'Ответы учащихся'!M59="MUCH"),AND(E59=2,'Ответы учащихся'!M59="SELL")),1,IF('Ответы учащихся'!M59="N",'Ответы учащихся'!M59,0)),""),"")</f>
        <v/>
      </c>
      <c r="O59" s="436" t="str">
        <f>IF(AND(OR($C59&lt;&gt;"",$D59&lt;&gt;""),$A59=1,$AJ$6="ДА"),IF(A59=1,IF(OR(AND(E59=1,'Ответы учащихся'!N59="LIKE"),AND(E59=2,'Ответы учащихся'!N59="IN")),1,IF('Ответы учащихся'!N59="N",'Ответы учащихся'!N59,0)),""),"")</f>
        <v/>
      </c>
      <c r="P59" s="406" t="str">
        <f>IF(AND(OR($C59&lt;&gt;"",$D59&lt;&gt;""),$A59=1,$AJ$6="ДА"),IF(A59=1,IF(OR(AND(E59=1,'Ответы учащихся'!O59="ANIMALS"),AND(E59=2,'Ответы учащихся'!O59="CLOTHES")),1,IF('Ответы учащихся'!O59="N",'Ответы учащихся'!O59,0)),""),"")</f>
        <v/>
      </c>
      <c r="Q59" s="406" t="str">
        <f>IF(AND(OR($C59&lt;&gt;"",$D59&lt;&gt;""),$A59=1,$AJ$6="ДА"),IF(A59=1,IF(OR(AND(E59=1,'Ответы учащихся'!P59="WE"),AND(E59=2,'Ответы учащихся'!P59="GOES")),1,IF('Ответы учащихся'!P59="N",'Ответы учащихся'!P59,0)),""),"")</f>
        <v/>
      </c>
      <c r="R59" s="406" t="str">
        <f>IF(AND(OR($C59&lt;&gt;"",$D59&lt;&gt;""),$A59=1,$AJ$6="ДА"),IF(A59=1,IF(OR(AND(E59=1,'Ответы учащихся'!Q59="ASKED"),AND(E59=2,'Ответы учащихся'!Q59="MADE")),1,IF('Ответы учащихся'!Q59="N",'Ответы учащихся'!Q59,0)),""),"")</f>
        <v/>
      </c>
      <c r="S59" s="406" t="str">
        <f>IF(AND(OR($C59&lt;&gt;"",$D59&lt;&gt;""),$A59=1,$AJ$6="ДА"),IF(A59=1,IF(OR(AND(E59=1,'Ответы учащихся'!R59="LOST"),AND(E59=2,'Ответы учащихся'!R59="GOT")),1,IF('Ответы учащихся'!R59="N",'Ответы учащихся'!R59,0)),""),"")</f>
        <v/>
      </c>
      <c r="T59" s="406" t="str">
        <f>IF(AND(OR($C59&lt;&gt;"",$D59&lt;&gt;""),$A59=1,$AJ$6="ДА"),IF(A59=1,IF(OR(AND(E59=1,'Ответы учащихся'!S59="GOT"),AND(E59=2,'Ответы учащихся'!S59="CAME")),1,IF('Ответы учащихся'!S59="N",'Ответы учащихся'!S59,0)),""),"")</f>
        <v/>
      </c>
      <c r="U59" s="406" t="str">
        <f>IF(AND(OR($C59&lt;&gt;"",$D59&lt;&gt;""),$A59=1,$AJ$6="ДА"),IF(A59=1,IF(OR(AND(E59=1,'Ответы учащихся'!T59="SAW"),AND(E59=2,'Ответы учащихся'!T59="OPENED")),1,IF('Ответы учащихся'!T59="N",'Ответы учащихся'!T59,0)),""),"")</f>
        <v/>
      </c>
      <c r="V59" s="406" t="str">
        <f>IF(AND(OR($C59&lt;&gt;"",$D59&lt;&gt;""),$A59=1,$AJ$6="ДА"),IF(A59=1,IF(OR(AND(E59=1,'Ответы учащихся'!U59="WAS"),AND(E59=2,'Ответы учащихся'!U59="TRIED")),1,IF('Ответы учащихся'!U59="N",'Ответы учащихся'!U59,0)),""),"")</f>
        <v/>
      </c>
      <c r="W59" s="406" t="str">
        <f>IF(AND(OR($C59&lt;&gt;"",$D59&lt;&gt;""),$A59=1,$AJ$6="ДА"),IF(A59=1,IF(OR(AND(E59=1,'Ответы учащихся'!V59="KNEW"),AND(E59=2,'Ответы учащихся'!V59="SAW")),1,IF('Ответы учащихся'!V59="N",'Ответы учащихся'!V59,0)),""),"")</f>
        <v/>
      </c>
      <c r="X59" s="406" t="str">
        <f>IF(AND(OR($C59&lt;&gt;"",$D59&lt;&gt;""),$A59=1,$AJ$6="ДА"),IF(A59=1,IF(OR(AND(E59=1,'Ответы учащихся'!W59="BROKE"),AND(E59=2,'Ответы учащихся'!W59="WENT")),1,IF('Ответы учащихся'!W59="N",'Ответы учащихся'!W59,0)),""),"")</f>
        <v/>
      </c>
      <c r="Y59" s="406" t="str">
        <f>IF(AND(OR($C59&lt;&gt;"",$D59&lt;&gt;""),$A59=1,$AJ$6="ДА"),IF(A59=1,IF(OR(AND(E59=1,'Ответы учащихся'!X59="CAME"),AND(E59=2,'Ответы учащихся'!X59="BEGAN")),1,IF('Ответы учащихся'!X59="N",'Ответы учащихся'!X59,0)),""),"")</f>
        <v/>
      </c>
      <c r="Z59" s="406" t="str">
        <f>IF(AND(OR($C59&lt;&gt;"",$D59&lt;&gt;""),$A59=1,$AJ$6="ДА"),IF(A59=1,IF(OR(AND(E59=1,'Ответы учащихся'!Y59="RODE"),AND(E59=2,'Ответы учащихся'!Y59="PUT")),1,IF('Ответы учащихся'!Y59="N",'Ответы учащихся'!Y59,0)),""),"")</f>
        <v/>
      </c>
      <c r="AA59" s="407" t="str">
        <f>IF(AND(OR($C59&lt;&gt;"",$D59&lt;&gt;""),$A59=1,$AJ$6="ДА"),IF(A59=1,IF(OR(AND(E59=1,'Ответы учащихся'!Z59="TOOK"),AND(E59=2,'Ответы учащихся'!Z59="LEFT")),1,IF('Ответы учащихся'!Z59="N",'Ответы учащихся'!Z59,0)),""),"")</f>
        <v/>
      </c>
      <c r="AB59" s="478" t="str">
        <f>IF(AND(OR($C59&lt;&gt;"",$D59&lt;&gt;""),$A59=1,$AJ$6="ДА"),IF(OR('Ответы учащихся'!AA59="N",'Ответы учащихся'!AL59="N"),"N",('Ответы учащихся'!AA59+'Ответы учащихся'!AL59)),"")</f>
        <v/>
      </c>
      <c r="AC59" s="437" t="b">
        <f t="shared" si="5"/>
        <v>0</v>
      </c>
      <c r="AD59" s="438" t="b">
        <f t="shared" si="6"/>
        <v>0</v>
      </c>
      <c r="AE59" s="438" t="b">
        <f t="shared" si="7"/>
        <v>0</v>
      </c>
      <c r="AF59" s="438" t="b">
        <f t="shared" si="8"/>
        <v>0</v>
      </c>
      <c r="AG59" s="438" t="b">
        <f>IF(OR('Ответы учащихся'!AA59="N",'Ответы учащихся'!AL59="N"),1)</f>
        <v>0</v>
      </c>
      <c r="AH59" s="290" t="str">
        <f>IF(AND(OR($C59&lt;&gt;"",$D59&lt;&gt;""),$A59=1,$AJ$6="ДА"),IF(A59=1,IF('Ответы учащихся'!AK59="N",'Ответы учащихся'!AK59,AF59+AG59),""),"")</f>
        <v/>
      </c>
      <c r="AI59" s="461" t="str">
        <f t="shared" si="9"/>
        <v/>
      </c>
      <c r="AJ59" s="128" t="str">
        <f t="shared" si="10"/>
        <v/>
      </c>
      <c r="AK59" s="133" t="str">
        <f t="shared" si="11"/>
        <v/>
      </c>
      <c r="AL59" s="269" t="str">
        <f t="shared" si="12"/>
        <v/>
      </c>
      <c r="AM59" s="133" t="str">
        <f t="shared" si="13"/>
        <v/>
      </c>
      <c r="AN59" s="269" t="str">
        <f t="shared" si="14"/>
        <v/>
      </c>
      <c r="AO59" s="435" t="str">
        <f t="shared" si="15"/>
        <v/>
      </c>
      <c r="AP59" s="427">
        <f t="shared" si="16"/>
        <v>17.068965517241381</v>
      </c>
      <c r="AQ59" s="182">
        <f t="shared" si="17"/>
        <v>0.6827586206896552</v>
      </c>
      <c r="AR59" s="176">
        <v>6</v>
      </c>
      <c r="AS59" s="181">
        <f t="shared" si="18"/>
        <v>69.905956112852664</v>
      </c>
      <c r="AT59" s="183" t="str">
        <f>IF(A59=1,IF(OR(AND(E59=1,'Ответы учащихся'!AB59=0.15),AND(E59=2,'Ответы учащихся'!AB59=-2)),1,IF('Ответы учащихся'!AB59="N",'Ответы учащихся'!AB59,0)),"")</f>
        <v/>
      </c>
      <c r="AU59" s="176" t="str">
        <f>IF(A59=1,IF(OR(AND(E59=1,'Ответы учащихся'!AC59="м/с"),AND(E59=2,'Ответы учащихся'!AC59="mV0")),1,IF('Ответы учащихся'!AB59="N",'Ответы учащихся'!AB59,0)),"")</f>
        <v/>
      </c>
      <c r="AV59" s="176" t="str">
        <f>IF(A59=1,IF(OR(AND(E59=1,'Ответы учащихся'!AD59=-6),AND(E59=2,'Ответы учащихся'!AD59=-10)),1,IF('Ответы учащихся'!AE59="N",'Ответы учащихся'!AE59,0)),"")</f>
        <v/>
      </c>
      <c r="AW59" s="176" t="str">
        <f>IF(A59=1,IF(OR(AND(E59=1,'Ответы учащихся'!AE59="Нм"),AND(E59=2,'Ответы учащихся'!AE59="Нм")),1,IF('Ответы учащихся'!AE59="N",'Ответы учащихся'!AE59,0)),"")</f>
        <v/>
      </c>
      <c r="AX59" s="176" t="str">
        <f>IF(A59=1,IF(OR(AND(E59=1,'Ответы учащихся'!AF59=250),AND(E59=2,'Ответы учащихся'!AF59=500)),1,IF('Ответы учащихся'!AF59="N",'Ответы учащихся'!AF59,0)),"")</f>
        <v/>
      </c>
      <c r="AY59" s="176" t="str">
        <f>IF(A59=1,IF(OR(AND(E59=1,'Ответы учащихся'!AG59="м"),AND(E59=2,'Ответы учащихся'!AG59="Па")),1,IF('Ответы учащихся'!AF59="N",'Ответы учащихся'!AF59,0)),"")</f>
        <v/>
      </c>
      <c r="AZ59" s="177" t="str">
        <f>IF(E59=1,(IF('Ответы учащихся'!N59=3,1,IF('Ответы учащихся'!N59="N",'Ответы учащихся'!N59,0))),"")</f>
        <v/>
      </c>
      <c r="BA59" s="178" t="str">
        <f>IF(E59=2,IF('Ответы учащихся'!N59=1,1,(IF('Ответы учащихся'!N59="N",'Ответы учащихся'!N59,0))),"")</f>
        <v/>
      </c>
      <c r="BB59" s="179" t="str">
        <f>IF(E59=1,IF('Ответы учащихся'!O59=3,1,IF('Ответы учащихся'!O59="N",'Ответы учащихся'!O59,0)),"")</f>
        <v/>
      </c>
      <c r="BC59" s="178" t="str">
        <f>IF(E59=2,IF('Ответы учащихся'!O59=2,1,IF('Ответы учащихся'!O59="N",'Ответы учащихся'!O59,0)),"")</f>
        <v/>
      </c>
      <c r="BD59" s="179" t="str">
        <f>IF(E59=1,IF('Ответы учащихся'!P59=1,1,IF('Ответы учащихся'!P59="N",'Ответы учащихся'!P59,0)),"")</f>
        <v/>
      </c>
      <c r="BE59" s="178" t="str">
        <f>IF(E59=2,IF('Ответы учащихся'!P59=1,1,IF('Ответы учащихся'!P59="N",'Ответы учащихся'!P59,0)),"")</f>
        <v/>
      </c>
      <c r="BF59" s="176"/>
      <c r="BG59" s="176"/>
      <c r="BH59" s="176"/>
      <c r="BI59" s="176"/>
      <c r="BJ59" s="6"/>
      <c r="BK59" s="6"/>
      <c r="BL59" s="6"/>
      <c r="BM59" s="6"/>
      <c r="BN59" s="6"/>
      <c r="BO59" s="6"/>
    </row>
    <row r="60" spans="1:87" ht="13.5" thickBo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479"/>
      <c r="AJ60" s="480"/>
      <c r="AK60" s="480"/>
      <c r="AL60" s="480"/>
      <c r="AM60" s="480"/>
      <c r="AN60" s="480"/>
      <c r="AO60" s="481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</row>
    <row r="61" spans="1:87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</row>
    <row r="62" spans="1:87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</row>
    <row r="63" spans="1:87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</row>
    <row r="64" spans="1:87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</row>
    <row r="65" spans="1:87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</row>
    <row r="66" spans="1:87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</row>
    <row r="67" spans="1:8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</row>
    <row r="68" spans="1:87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</row>
    <row r="69" spans="1:87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</row>
    <row r="70" spans="1:87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</row>
    <row r="71" spans="1:87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</row>
    <row r="72" spans="1:87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</row>
    <row r="73" spans="1:87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</row>
    <row r="74" spans="1:87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</row>
    <row r="75" spans="1:87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</row>
    <row r="76" spans="1:87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</row>
    <row r="77" spans="1:8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</row>
    <row r="78" spans="1:87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</row>
    <row r="79" spans="1:87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</row>
    <row r="80" spans="1:87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</row>
    <row r="81" spans="1:87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</row>
    <row r="82" spans="1:87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</row>
    <row r="83" spans="1:87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</row>
    <row r="84" spans="1:87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</row>
    <row r="85" spans="1:87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</row>
    <row r="86" spans="1:87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</row>
    <row r="87" spans="1: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</row>
    <row r="88" spans="1:87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</row>
    <row r="89" spans="1:87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</row>
    <row r="90" spans="1:87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</row>
    <row r="91" spans="1:87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</row>
    <row r="92" spans="1:87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</row>
    <row r="93" spans="1:87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</row>
    <row r="94" spans="1:87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</row>
    <row r="95" spans="1:87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</row>
    <row r="96" spans="1:87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</row>
    <row r="97" spans="1:8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</row>
    <row r="98" spans="1:87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</row>
    <row r="99" spans="1:87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</row>
    <row r="100" spans="1:87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</row>
    <row r="101" spans="1:87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</row>
    <row r="102" spans="1:87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</row>
    <row r="103" spans="1:87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</row>
    <row r="104" spans="1:87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</row>
    <row r="105" spans="1:87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</row>
    <row r="106" spans="1:87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</row>
    <row r="107" spans="1:8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</row>
    <row r="108" spans="1:87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</row>
    <row r="109" spans="1:87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</row>
    <row r="110" spans="1:87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</row>
    <row r="111" spans="1:87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</row>
    <row r="112" spans="1:87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</row>
    <row r="113" spans="1:87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</row>
    <row r="114" spans="1:87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</row>
    <row r="115" spans="1:87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</row>
    <row r="116" spans="1:87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</row>
    <row r="117" spans="1:8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</row>
    <row r="118" spans="1:87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</row>
    <row r="119" spans="1:87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</row>
    <row r="120" spans="1:87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</row>
    <row r="121" spans="1:87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</row>
    <row r="122" spans="1:87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</row>
    <row r="123" spans="1:87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</row>
    <row r="124" spans="1:87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</row>
    <row r="125" spans="1:87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</row>
    <row r="126" spans="1:87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</row>
    <row r="127" spans="1:8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</row>
    <row r="128" spans="1:87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</row>
    <row r="129" spans="1:87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</row>
    <row r="130" spans="1:87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</row>
    <row r="131" spans="1:87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</row>
    <row r="132" spans="1:87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</row>
    <row r="133" spans="1:87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</row>
    <row r="134" spans="1:87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</row>
    <row r="135" spans="1:87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</row>
    <row r="136" spans="1:87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</row>
    <row r="137" spans="1:8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</row>
    <row r="138" spans="1:87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</row>
    <row r="139" spans="1:87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</row>
    <row r="140" spans="1:87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</row>
    <row r="141" spans="1:87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</row>
    <row r="142" spans="1:87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</row>
    <row r="143" spans="1:87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</row>
    <row r="144" spans="1:87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</row>
    <row r="145" spans="1:87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</row>
    <row r="146" spans="1:87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</row>
    <row r="147" spans="1:8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</row>
    <row r="148" spans="1:87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</row>
    <row r="149" spans="1:87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</row>
    <row r="150" spans="1:87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</row>
    <row r="151" spans="1:87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</row>
    <row r="152" spans="1:87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</row>
    <row r="153" spans="1:87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</row>
    <row r="154" spans="1:87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</row>
    <row r="155" spans="1:87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</row>
    <row r="156" spans="1:87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</row>
    <row r="157" spans="1:8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</row>
    <row r="158" spans="1:87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</row>
    <row r="159" spans="1:87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</row>
    <row r="160" spans="1:87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</row>
    <row r="161" spans="1:87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</row>
    <row r="162" spans="1:87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</row>
  </sheetData>
  <sheetProtection password="C62D" sheet="1" objects="1" scenarios="1" selectLockedCells="1" selectUnlockedCells="1"/>
  <protectedRanges>
    <protectedRange sqref="AJ6" name="Диапазон2_2"/>
  </protectedRanges>
  <customSheetViews>
    <customSheetView guid="{BFE542F4-8A0C-4C42-A5CA-C7B0ACF2717E}" scale="90" hiddenRows="1" hiddenColumns="1" topLeftCell="C1">
      <selection activeCell="AA6" sqref="AA6"/>
      <pageMargins left="0.17" right="0.19" top="0.50749999999999995" bottom="0.17" header="0.17" footer="0.5"/>
      <pageSetup paperSize="9" scale="90" fitToWidth="0" fitToHeight="0" orientation="landscape" r:id="rId1"/>
      <headerFooter alignWithMargins="0">
        <oddHeader>&amp;CКГБУ "Региональный центр оценки качества образования"</oddHeader>
      </headerFooter>
    </customSheetView>
  </customSheetViews>
  <mergeCells count="25">
    <mergeCell ref="AL6:AO6"/>
    <mergeCell ref="AL7:AN7"/>
    <mergeCell ref="AL8:AN8"/>
    <mergeCell ref="AK9:AK11"/>
    <mergeCell ref="AL9:AL11"/>
    <mergeCell ref="AM9:AM11"/>
    <mergeCell ref="AN9:AN11"/>
    <mergeCell ref="AO9:AO11"/>
    <mergeCell ref="B9:B11"/>
    <mergeCell ref="C9:C11"/>
    <mergeCell ref="AJ9:AJ11"/>
    <mergeCell ref="AI9:AI11"/>
    <mergeCell ref="D9:D11"/>
    <mergeCell ref="E9:E11"/>
    <mergeCell ref="F10:G10"/>
    <mergeCell ref="H10:AA10"/>
    <mergeCell ref="F9:AB9"/>
    <mergeCell ref="I2:K2"/>
    <mergeCell ref="L2:N2"/>
    <mergeCell ref="O2:P2"/>
    <mergeCell ref="C8:AK8"/>
    <mergeCell ref="K6:N6"/>
    <mergeCell ref="E2:H2"/>
    <mergeCell ref="C4:F4"/>
    <mergeCell ref="G4:AE4"/>
  </mergeCells>
  <phoneticPr fontId="0" type="noConversion"/>
  <conditionalFormatting sqref="F20:AH59">
    <cfRule type="expression" dxfId="1" priority="8" stopIfTrue="1">
      <formula>AND(OR($C20&lt;&gt;"",$D20&lt;&gt;""),$A20=1,ISBLANK(F20))</formula>
    </cfRule>
  </conditionalFormatting>
  <conditionalFormatting sqref="AJ6">
    <cfRule type="cellIs" dxfId="0" priority="5" stopIfTrue="1" operator="equal">
      <formula>"НЕТ"</formula>
    </cfRule>
  </conditionalFormatting>
  <dataValidations xWindow="344" yWindow="537" count="3">
    <dataValidation type="list" operator="equal" allowBlank="1" showInputMessage="1" showErrorMessage="1" prompt="После внесения в таблицу данных для всех учащихся, принимавших участие в тестировании, выберите &quot;Да&quot;" sqref="AJ6">
      <formula1>"ДА,НЕТ"</formula1>
    </dataValidation>
    <dataValidation allowBlank="1" showDropDown="1" showInputMessage="1" showErrorMessage="1" sqref="F20:AH59"/>
    <dataValidation allowBlank="1" showInputMessage="1" showErrorMessage="1" promptTitle="Задание повышенного уровня" sqref="AE11:AE14"/>
  </dataValidations>
  <pageMargins left="0.17" right="0.19" top="0.50749999999999995" bottom="0.17" header="0.17" footer="0.5"/>
  <pageSetup paperSize="9" scale="90" fitToWidth="0" fitToHeight="0" orientation="landscape" r:id="rId2"/>
  <headerFooter alignWithMargins="0">
    <oddHeader>&amp;CКГБУ "Региональный центр оценки качества образования"</oddHeader>
  </headerFooter>
  <ignoredErrors>
    <ignoredError sqref="K6 AH20:AH59 F20:Z20 AA20 AB20 F21:AB59" unlockedFormula="1"/>
  </ignoredErrors>
  <legacyDrawing r:id="rId3"/>
  <extLst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type="expression" priority="1" stopIfTrue="1" id="{36552DB7-5730-469D-9DD9-189EE7098BB0}">
            <xm:f>'СПИСОК КЛАССА'!$A$5&gt;0</xm:f>
            <x14:dxf>
              <font>
                <b/>
                <i val="0"/>
                <color rgb="FFFF0000"/>
              </font>
            </x14:dxf>
          </x14:cfRule>
          <xm:sqref>AL5:AO8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G7"/>
  <sheetViews>
    <sheetView view="pageLayout" topLeftCell="A7" workbookViewId="0">
      <selection activeCell="F6" sqref="F6"/>
    </sheetView>
  </sheetViews>
  <sheetFormatPr defaultColWidth="58.5703125" defaultRowHeight="12.75"/>
  <cols>
    <col min="1" max="1" width="8.85546875" customWidth="1"/>
    <col min="2" max="2" width="22.5703125" customWidth="1"/>
    <col min="3" max="3" width="36.42578125" customWidth="1"/>
    <col min="4" max="4" width="29.5703125" customWidth="1"/>
    <col min="5" max="5" width="32" customWidth="1"/>
    <col min="6" max="6" width="6.5703125" customWidth="1"/>
    <col min="7" max="7" width="8.42578125" customWidth="1"/>
    <col min="8" max="112" width="9.140625" customWidth="1"/>
    <col min="113" max="113" width="5.5703125" customWidth="1"/>
  </cols>
  <sheetData>
    <row r="1" spans="1:7" s="52" customFormat="1" ht="17.25" customHeight="1">
      <c r="A1" s="607" t="s">
        <v>251</v>
      </c>
      <c r="B1" s="607"/>
      <c r="C1" s="607"/>
      <c r="D1" s="607"/>
      <c r="E1" s="607"/>
      <c r="F1" s="607"/>
      <c r="G1" s="607"/>
    </row>
    <row r="2" spans="1:7" s="52" customFormat="1" ht="27" customHeight="1">
      <c r="A2" s="275" t="s">
        <v>87</v>
      </c>
      <c r="B2" s="606" t="str">
        <f>'СПИСОК КЛАССА'!E3</f>
        <v>МУНИЦИПАЛЬНОЕ ОБЩЕОБРАЗОВАТЕЛЬНОЕ УЧРЕЖДЕНИЕ СРЕДНЯЯ ОБЩЕОБРАЗОВАТЕЛЬНАЯ ШКОЛА № 27</v>
      </c>
      <c r="C2" s="606"/>
      <c r="D2" s="606"/>
      <c r="E2" s="278" t="s">
        <v>88</v>
      </c>
      <c r="F2" s="605" t="str">
        <f>'СПИСОК КЛАССА'!J1</f>
        <v>0501</v>
      </c>
      <c r="G2" s="605"/>
    </row>
    <row r="3" spans="1:7" s="52" customFormat="1" ht="2.25" customHeight="1">
      <c r="A3" s="603"/>
      <c r="B3" s="603"/>
      <c r="C3" s="603"/>
      <c r="D3" s="603"/>
      <c r="E3" s="603"/>
      <c r="F3" s="603"/>
      <c r="G3" s="603"/>
    </row>
    <row r="4" spans="1:7" ht="52.5" customHeight="1">
      <c r="A4" s="110"/>
      <c r="B4" s="111"/>
      <c r="C4" s="112" t="s">
        <v>147</v>
      </c>
      <c r="D4" s="604" t="s">
        <v>148</v>
      </c>
      <c r="E4" s="604"/>
    </row>
    <row r="5" spans="1:7" ht="78" customHeight="1">
      <c r="A5" s="113"/>
      <c r="B5" s="112" t="s">
        <v>93</v>
      </c>
      <c r="C5" s="112" t="s">
        <v>150</v>
      </c>
      <c r="D5" s="112" t="s">
        <v>149</v>
      </c>
      <c r="E5" s="112" t="s">
        <v>151</v>
      </c>
    </row>
    <row r="6" spans="1:7" ht="18" customHeight="1">
      <c r="A6" s="107" t="s">
        <v>94</v>
      </c>
      <c r="B6" s="137">
        <f>Результаты_Класс!AJ19*100</f>
        <v>68.275862068965523</v>
      </c>
      <c r="C6" s="138">
        <f>Результаты_Класс!AO19/'Ответы учащихся'!E7*100</f>
        <v>13.793103448275861</v>
      </c>
      <c r="D6" s="138">
        <f>Результаты_Класс!AO18/'Ответы учащихся'!E7*100</f>
        <v>31.03448275862069</v>
      </c>
      <c r="E6" s="138">
        <f>COUNTIF(Результаты_Класс!AK20:AK59,"&gt;=16")/'Ответы учащихся'!E7*100</f>
        <v>0</v>
      </c>
      <c r="G6" s="109"/>
    </row>
    <row r="7" spans="1:7">
      <c r="B7" s="122"/>
    </row>
  </sheetData>
  <sheetProtection password="C62D" sheet="1" scenarios="1" selectLockedCells="1" selectUnlockedCells="1"/>
  <customSheetViews>
    <customSheetView guid="{BFE542F4-8A0C-4C42-A5CA-C7B0ACF2717E}">
      <selection activeCell="AA6" sqref="AA6"/>
      <pageMargins left="0.11811023622047245" right="0.11811023622047245" top="0.60416666666666663" bottom="0.19685039370078741" header="0.31496062992125984" footer="0.31496062992125984"/>
      <pageSetup paperSize="9" orientation="landscape" verticalDpi="0" r:id="rId1"/>
      <headerFooter>
        <oddHeader>&amp;CКГБУ "Региональный центр оценки качества образования"</oddHeader>
      </headerFooter>
    </customSheetView>
  </customSheetViews>
  <mergeCells count="5">
    <mergeCell ref="A3:G3"/>
    <mergeCell ref="D4:E4"/>
    <mergeCell ref="F2:G2"/>
    <mergeCell ref="B2:D2"/>
    <mergeCell ref="A1:G1"/>
  </mergeCells>
  <pageMargins left="0.11811023622047245" right="0.11811023622047245" top="0.60416666666666663" bottom="0.19685039370078741" header="0.31496062992125984" footer="0.31496062992125984"/>
  <pageSetup paperSize="9" orientation="landscape" r:id="rId2"/>
  <headerFooter>
    <oddHeader>&amp;CКГБУ "Региональный центр оценки качества образования"</oddHead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K30"/>
  <sheetViews>
    <sheetView view="pageLayout" topLeftCell="A22" zoomScale="55" zoomScalePageLayoutView="55" workbookViewId="0">
      <selection activeCell="J2" sqref="J2"/>
    </sheetView>
  </sheetViews>
  <sheetFormatPr defaultColWidth="58.5703125" defaultRowHeight="12.75"/>
  <cols>
    <col min="1" max="1" width="8.5703125" style="52" customWidth="1"/>
    <col min="2" max="2" width="63" style="52" customWidth="1"/>
    <col min="3" max="3" width="13.5703125" style="52" customWidth="1"/>
    <col min="4" max="4" width="6.28515625" style="52" customWidth="1"/>
    <col min="5" max="5" width="7.85546875" style="52" customWidth="1"/>
    <col min="6" max="6" width="7.42578125" style="52" customWidth="1"/>
    <col min="7" max="7" width="8.42578125" style="52" customWidth="1"/>
    <col min="8" max="8" width="6.5703125" style="52" customWidth="1"/>
    <col min="9" max="9" width="9.28515625" style="52" customWidth="1"/>
    <col min="10" max="10" width="7" style="52" customWidth="1"/>
    <col min="11" max="11" width="7.140625" style="52" customWidth="1"/>
    <col min="12" max="234" width="9.140625" style="52" customWidth="1"/>
    <col min="235" max="235" width="5.5703125" style="52" customWidth="1"/>
    <col min="236" max="16384" width="58.5703125" style="52"/>
  </cols>
  <sheetData>
    <row r="1" spans="1:11" ht="15.75">
      <c r="A1" s="616" t="s">
        <v>224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</row>
    <row r="2" spans="1:11" ht="27.75" customHeight="1">
      <c r="A2" s="275" t="s">
        <v>87</v>
      </c>
      <c r="B2" s="618" t="str">
        <f>'СПИСОК КЛАССА'!E3</f>
        <v>МУНИЦИПАЛЬНОЕ ОБЩЕОБРАЗОВАТЕЛЬНОЕ УЧРЕЖДЕНИЕ СРЕДНЯЯ ОБЩЕОБРАЗОВАТЕЛЬНАЯ ШКОЛА № 27</v>
      </c>
      <c r="C2" s="618"/>
      <c r="D2" s="618"/>
      <c r="E2" s="618"/>
      <c r="F2" s="618"/>
      <c r="G2" s="620" t="s">
        <v>88</v>
      </c>
      <c r="H2" s="620"/>
      <c r="I2" s="100" t="str">
        <f>'СПИСОК КЛАССА'!J1</f>
        <v>0501</v>
      </c>
    </row>
    <row r="3" spans="1:11" ht="16.5" thickBot="1">
      <c r="A3" s="621" t="s">
        <v>114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</row>
    <row r="4" spans="1:11" ht="46.5" customHeight="1">
      <c r="A4" s="623" t="s">
        <v>84</v>
      </c>
      <c r="B4" s="617" t="s">
        <v>144</v>
      </c>
      <c r="C4" s="617" t="s">
        <v>145</v>
      </c>
      <c r="D4" s="625" t="s">
        <v>78</v>
      </c>
      <c r="E4" s="625" t="s">
        <v>85</v>
      </c>
      <c r="F4" s="617" t="s">
        <v>79</v>
      </c>
      <c r="G4" s="617"/>
      <c r="H4" s="617" t="s">
        <v>80</v>
      </c>
      <c r="I4" s="617"/>
      <c r="J4" s="617" t="s">
        <v>90</v>
      </c>
      <c r="K4" s="619"/>
    </row>
    <row r="5" spans="1:11" ht="28.5" customHeight="1" thickBot="1">
      <c r="A5" s="624"/>
      <c r="B5" s="622"/>
      <c r="C5" s="622"/>
      <c r="D5" s="626"/>
      <c r="E5" s="626"/>
      <c r="F5" s="285" t="s">
        <v>81</v>
      </c>
      <c r="G5" s="285" t="s">
        <v>82</v>
      </c>
      <c r="H5" s="285" t="s">
        <v>81</v>
      </c>
      <c r="I5" s="285" t="s">
        <v>82</v>
      </c>
      <c r="J5" s="285" t="s">
        <v>81</v>
      </c>
      <c r="K5" s="134" t="s">
        <v>82</v>
      </c>
    </row>
    <row r="6" spans="1:11" ht="35.25" customHeight="1">
      <c r="A6" s="320">
        <v>1</v>
      </c>
      <c r="B6" s="321" t="s">
        <v>196</v>
      </c>
      <c r="C6" s="322" t="s">
        <v>197</v>
      </c>
      <c r="D6" s="286" t="s">
        <v>83</v>
      </c>
      <c r="E6" s="286" t="s">
        <v>92</v>
      </c>
      <c r="F6" s="286">
        <f>Результаты_Класс!F17</f>
        <v>26</v>
      </c>
      <c r="G6" s="323">
        <f>F6/'Ответы учащихся'!$E$7</f>
        <v>0.89655172413793105</v>
      </c>
      <c r="H6" s="286">
        <f>Результаты_Класс!F18</f>
        <v>3</v>
      </c>
      <c r="I6" s="324">
        <f>H6/'Ответы учащихся'!$E$7</f>
        <v>0.10344827586206896</v>
      </c>
      <c r="J6" s="286">
        <f>Результаты_Класс!F19</f>
        <v>0</v>
      </c>
      <c r="K6" s="324">
        <f>J6/'Ответы учащихся'!$E$7</f>
        <v>0</v>
      </c>
    </row>
    <row r="7" spans="1:11" ht="18.75" customHeight="1">
      <c r="A7" s="317">
        <v>2</v>
      </c>
      <c r="B7" s="129" t="s">
        <v>198</v>
      </c>
      <c r="C7" s="253" t="s">
        <v>199</v>
      </c>
      <c r="D7" s="130" t="s">
        <v>86</v>
      </c>
      <c r="E7" s="130" t="s">
        <v>92</v>
      </c>
      <c r="F7" s="130">
        <f>Результаты_Класс!G17</f>
        <v>24</v>
      </c>
      <c r="G7" s="53">
        <f>F7/'Ответы учащихся'!$E$7</f>
        <v>0.82758620689655171</v>
      </c>
      <c r="H7" s="130">
        <f>Результаты_Класс!G18</f>
        <v>5</v>
      </c>
      <c r="I7" s="53">
        <f>H7/'Ответы учащихся'!$E$7</f>
        <v>0.17241379310344829</v>
      </c>
      <c r="J7" s="130">
        <f>Результаты_Класс!G19</f>
        <v>0</v>
      </c>
      <c r="K7" s="53">
        <f>J7/'Ответы учащихся'!$E$7</f>
        <v>0</v>
      </c>
    </row>
    <row r="8" spans="1:11" ht="51" customHeight="1">
      <c r="A8" s="319" t="s">
        <v>188</v>
      </c>
      <c r="B8" s="129" t="s">
        <v>200</v>
      </c>
      <c r="C8" s="253" t="s">
        <v>201</v>
      </c>
      <c r="D8" s="130" t="s">
        <v>86</v>
      </c>
      <c r="E8" s="130" t="s">
        <v>92</v>
      </c>
      <c r="F8" s="130">
        <f>Результаты_Класс!H17</f>
        <v>28</v>
      </c>
      <c r="G8" s="53">
        <f>F8/'Ответы учащихся'!$E$7</f>
        <v>0.96551724137931039</v>
      </c>
      <c r="H8" s="130">
        <f>Результаты_Класс!H18</f>
        <v>1</v>
      </c>
      <c r="I8" s="53">
        <f>H8/'Ответы учащихся'!$E$7</f>
        <v>3.4482758620689655E-2</v>
      </c>
      <c r="J8" s="130">
        <f>Результаты_Класс!H19</f>
        <v>0</v>
      </c>
      <c r="K8" s="53">
        <f>J8/'Ответы учащихся'!$E$7</f>
        <v>0</v>
      </c>
    </row>
    <row r="9" spans="1:11" ht="51" customHeight="1">
      <c r="A9" s="319" t="s">
        <v>186</v>
      </c>
      <c r="B9" s="129" t="s">
        <v>200</v>
      </c>
      <c r="C9" s="253" t="s">
        <v>201</v>
      </c>
      <c r="D9" s="130" t="s">
        <v>86</v>
      </c>
      <c r="E9" s="130" t="s">
        <v>92</v>
      </c>
      <c r="F9" s="130">
        <f>Результаты_Класс!I17</f>
        <v>25</v>
      </c>
      <c r="G9" s="318">
        <f>F9/'Ответы учащихся'!$E$7</f>
        <v>0.86206896551724133</v>
      </c>
      <c r="H9" s="130">
        <f>Результаты_Класс!I18</f>
        <v>3</v>
      </c>
      <c r="I9" s="53">
        <f>H9/'Ответы учащихся'!$E$7</f>
        <v>0.10344827586206896</v>
      </c>
      <c r="J9" s="130">
        <f>Результаты_Класс!I19</f>
        <v>1</v>
      </c>
      <c r="K9" s="53">
        <f>J9/'Ответы учащихся'!$E$7</f>
        <v>3.4482758620689655E-2</v>
      </c>
    </row>
    <row r="10" spans="1:11" ht="51" customHeight="1">
      <c r="A10" s="319" t="s">
        <v>187</v>
      </c>
      <c r="B10" s="129" t="s">
        <v>200</v>
      </c>
      <c r="C10" s="253" t="s">
        <v>201</v>
      </c>
      <c r="D10" s="130" t="s">
        <v>86</v>
      </c>
      <c r="E10" s="130" t="s">
        <v>92</v>
      </c>
      <c r="F10" s="130">
        <f>Результаты_Класс!J17</f>
        <v>20</v>
      </c>
      <c r="G10" s="318">
        <f>F10/'Ответы учащихся'!$E$7</f>
        <v>0.68965517241379315</v>
      </c>
      <c r="H10" s="130">
        <f>Результаты_Класс!J18</f>
        <v>9</v>
      </c>
      <c r="I10" s="53">
        <f>H10/'Ответы учащихся'!$E$7</f>
        <v>0.31034482758620691</v>
      </c>
      <c r="J10" s="130">
        <f>Результаты_Класс!J19</f>
        <v>0</v>
      </c>
      <c r="K10" s="53">
        <f>J10/'Ответы учащихся'!$E$7</f>
        <v>0</v>
      </c>
    </row>
    <row r="11" spans="1:11" ht="51" customHeight="1">
      <c r="A11" s="319" t="s">
        <v>206</v>
      </c>
      <c r="B11" s="129" t="s">
        <v>200</v>
      </c>
      <c r="C11" s="253" t="s">
        <v>201</v>
      </c>
      <c r="D11" s="130" t="s">
        <v>86</v>
      </c>
      <c r="E11" s="130" t="s">
        <v>92</v>
      </c>
      <c r="F11" s="130">
        <f>Результаты_Класс!K17</f>
        <v>22</v>
      </c>
      <c r="G11" s="53">
        <f>F11/'Ответы учащихся'!$E$7</f>
        <v>0.75862068965517238</v>
      </c>
      <c r="H11" s="130">
        <f>Результаты_Класс!K18</f>
        <v>7</v>
      </c>
      <c r="I11" s="53">
        <f>H11/'Ответы учащихся'!$E$7</f>
        <v>0.2413793103448276</v>
      </c>
      <c r="J11" s="130">
        <f>Результаты_Класс!K19</f>
        <v>0</v>
      </c>
      <c r="K11" s="53">
        <f>J11/'Ответы учащихся'!$E$7</f>
        <v>0</v>
      </c>
    </row>
    <row r="12" spans="1:11" ht="51" customHeight="1">
      <c r="A12" s="319" t="s">
        <v>207</v>
      </c>
      <c r="B12" s="129" t="s">
        <v>200</v>
      </c>
      <c r="C12" s="253" t="s">
        <v>201</v>
      </c>
      <c r="D12" s="130" t="s">
        <v>86</v>
      </c>
      <c r="E12" s="130" t="s">
        <v>92</v>
      </c>
      <c r="F12" s="130">
        <f>Результаты_Класс!L17</f>
        <v>22</v>
      </c>
      <c r="G12" s="53">
        <f>F12/'Ответы учащихся'!$E$7</f>
        <v>0.75862068965517238</v>
      </c>
      <c r="H12" s="130">
        <f>Результаты_Класс!L18</f>
        <v>7</v>
      </c>
      <c r="I12" s="53">
        <f>H12/'Ответы учащихся'!$E$7</f>
        <v>0.2413793103448276</v>
      </c>
      <c r="J12" s="130">
        <f>Результаты_Класс!L19</f>
        <v>0</v>
      </c>
      <c r="K12" s="53">
        <f>J12/'Ответы учащихся'!$E$7</f>
        <v>0</v>
      </c>
    </row>
    <row r="13" spans="1:11" ht="51" customHeight="1">
      <c r="A13" s="319" t="s">
        <v>208</v>
      </c>
      <c r="B13" s="129" t="s">
        <v>200</v>
      </c>
      <c r="C13" s="253" t="s">
        <v>201</v>
      </c>
      <c r="D13" s="130" t="s">
        <v>86</v>
      </c>
      <c r="E13" s="130" t="s">
        <v>92</v>
      </c>
      <c r="F13" s="130">
        <f>Результаты_Класс!M17</f>
        <v>15</v>
      </c>
      <c r="G13" s="318">
        <f>F13/'Ответы учащихся'!$E$7</f>
        <v>0.51724137931034486</v>
      </c>
      <c r="H13" s="130">
        <f>Результаты_Класс!M18</f>
        <v>14</v>
      </c>
      <c r="I13" s="53">
        <f>H13/'Ответы учащихся'!$E$7</f>
        <v>0.48275862068965519</v>
      </c>
      <c r="J13" s="130">
        <f>Результаты_Класс!M19</f>
        <v>0</v>
      </c>
      <c r="K13" s="53">
        <f>J13/'Ответы учащихся'!$E$7</f>
        <v>0</v>
      </c>
    </row>
    <row r="14" spans="1:11" ht="51" customHeight="1">
      <c r="A14" s="319" t="s">
        <v>209</v>
      </c>
      <c r="B14" s="129" t="s">
        <v>200</v>
      </c>
      <c r="C14" s="253" t="s">
        <v>201</v>
      </c>
      <c r="D14" s="130" t="s">
        <v>86</v>
      </c>
      <c r="E14" s="130" t="s">
        <v>92</v>
      </c>
      <c r="F14" s="130">
        <f>Результаты_Класс!N17</f>
        <v>15</v>
      </c>
      <c r="G14" s="318">
        <f>F14/'Ответы учащихся'!$E$7</f>
        <v>0.51724137931034486</v>
      </c>
      <c r="H14" s="130">
        <f>Результаты_Класс!N18</f>
        <v>13</v>
      </c>
      <c r="I14" s="53">
        <f>H14/'Ответы учащихся'!$E$7</f>
        <v>0.44827586206896552</v>
      </c>
      <c r="J14" s="130">
        <f>Результаты_Класс!N19</f>
        <v>1</v>
      </c>
      <c r="K14" s="53">
        <f>J14/'Ответы учащихся'!$E$7</f>
        <v>3.4482758620689655E-2</v>
      </c>
    </row>
    <row r="15" spans="1:11" ht="51" customHeight="1">
      <c r="A15" s="319" t="s">
        <v>210</v>
      </c>
      <c r="B15" s="129" t="s">
        <v>200</v>
      </c>
      <c r="C15" s="253" t="s">
        <v>201</v>
      </c>
      <c r="D15" s="130" t="s">
        <v>86</v>
      </c>
      <c r="E15" s="130" t="s">
        <v>92</v>
      </c>
      <c r="F15" s="130">
        <f>Результаты_Класс!O17</f>
        <v>18</v>
      </c>
      <c r="G15" s="53">
        <f>F15/'Ответы учащихся'!$E$7</f>
        <v>0.62068965517241381</v>
      </c>
      <c r="H15" s="130">
        <f>Результаты_Класс!O18</f>
        <v>9</v>
      </c>
      <c r="I15" s="53">
        <f>H15/'Ответы учащихся'!$E$7</f>
        <v>0.31034482758620691</v>
      </c>
      <c r="J15" s="130">
        <f>Результаты_Класс!O19</f>
        <v>2</v>
      </c>
      <c r="K15" s="53">
        <f>J15/'Ответы учащихся'!$E$7</f>
        <v>6.8965517241379309E-2</v>
      </c>
    </row>
    <row r="16" spans="1:11" ht="51" customHeight="1">
      <c r="A16" s="319" t="s">
        <v>189</v>
      </c>
      <c r="B16" s="129" t="s">
        <v>200</v>
      </c>
      <c r="C16" s="253" t="s">
        <v>201</v>
      </c>
      <c r="D16" s="130" t="s">
        <v>86</v>
      </c>
      <c r="E16" s="130" t="s">
        <v>92</v>
      </c>
      <c r="F16" s="130">
        <f>Результаты_Класс!P17</f>
        <v>17</v>
      </c>
      <c r="G16" s="53">
        <f>F16/'Ответы учащихся'!$E$7</f>
        <v>0.58620689655172409</v>
      </c>
      <c r="H16" s="130">
        <f>Результаты_Класс!P18</f>
        <v>11</v>
      </c>
      <c r="I16" s="53">
        <f>H16/'Ответы учащихся'!$E$7</f>
        <v>0.37931034482758619</v>
      </c>
      <c r="J16" s="130">
        <f>Результаты_Класс!P19</f>
        <v>1</v>
      </c>
      <c r="K16" s="53">
        <f>J16/'Ответы учащихся'!$E$7</f>
        <v>3.4482758620689655E-2</v>
      </c>
    </row>
    <row r="17" spans="1:11" ht="51" customHeight="1">
      <c r="A17" s="319" t="s">
        <v>211</v>
      </c>
      <c r="B17" s="129" t="s">
        <v>200</v>
      </c>
      <c r="C17" s="253" t="s">
        <v>201</v>
      </c>
      <c r="D17" s="130" t="s">
        <v>86</v>
      </c>
      <c r="E17" s="130" t="s">
        <v>92</v>
      </c>
      <c r="F17" s="130">
        <f>Результаты_Класс!Q17</f>
        <v>15</v>
      </c>
      <c r="G17" s="318">
        <f>F17/'Ответы учащихся'!$E$7</f>
        <v>0.51724137931034486</v>
      </c>
      <c r="H17" s="130">
        <f>Результаты_Класс!Q18</f>
        <v>14</v>
      </c>
      <c r="I17" s="53">
        <f>H17/'Ответы учащихся'!$E$7</f>
        <v>0.48275862068965519</v>
      </c>
      <c r="J17" s="130">
        <f>Результаты_Класс!Q19</f>
        <v>0</v>
      </c>
      <c r="K17" s="53">
        <f>J17/'Ответы учащихся'!$E$7</f>
        <v>0</v>
      </c>
    </row>
    <row r="18" spans="1:11" ht="51" customHeight="1">
      <c r="A18" s="319" t="s">
        <v>212</v>
      </c>
      <c r="B18" s="129" t="s">
        <v>202</v>
      </c>
      <c r="C18" s="253" t="s">
        <v>203</v>
      </c>
      <c r="D18" s="254" t="s">
        <v>83</v>
      </c>
      <c r="E18" s="130" t="s">
        <v>92</v>
      </c>
      <c r="F18" s="130">
        <f>Результаты_Класс!R17</f>
        <v>23</v>
      </c>
      <c r="G18" s="318">
        <f>F18/'Ответы учащихся'!$E$7</f>
        <v>0.7931034482758621</v>
      </c>
      <c r="H18" s="130">
        <f>Результаты_Класс!R18</f>
        <v>6</v>
      </c>
      <c r="I18" s="53">
        <f>H18/'Ответы учащихся'!$E$7</f>
        <v>0.20689655172413793</v>
      </c>
      <c r="J18" s="130">
        <f>Результаты_Класс!R19</f>
        <v>0</v>
      </c>
      <c r="K18" s="53">
        <f>J18/'Ответы учащихся'!$E$7</f>
        <v>0</v>
      </c>
    </row>
    <row r="19" spans="1:11" ht="31.5">
      <c r="A19" s="319" t="s">
        <v>213</v>
      </c>
      <c r="B19" s="129" t="s">
        <v>202</v>
      </c>
      <c r="C19" s="253" t="s">
        <v>203</v>
      </c>
      <c r="D19" s="254" t="s">
        <v>83</v>
      </c>
      <c r="E19" s="130" t="s">
        <v>92</v>
      </c>
      <c r="F19" s="130">
        <f>Результаты_Класс!S17</f>
        <v>17</v>
      </c>
      <c r="G19" s="53">
        <f>F19/'Ответы учащихся'!$E$7</f>
        <v>0.58620689655172409</v>
      </c>
      <c r="H19" s="130">
        <f>Результаты_Класс!S18</f>
        <v>9</v>
      </c>
      <c r="I19" s="53">
        <f>H19/'Ответы учащихся'!$E$7</f>
        <v>0.31034482758620691</v>
      </c>
      <c r="J19" s="130">
        <f>Результаты_Класс!S19</f>
        <v>3</v>
      </c>
      <c r="K19" s="53">
        <f>J19/'Ответы учащихся'!$E$7</f>
        <v>0.10344827586206896</v>
      </c>
    </row>
    <row r="20" spans="1:11" ht="31.5">
      <c r="A20" s="319" t="s">
        <v>214</v>
      </c>
      <c r="B20" s="129" t="s">
        <v>202</v>
      </c>
      <c r="C20" s="253" t="s">
        <v>203</v>
      </c>
      <c r="D20" s="254" t="s">
        <v>83</v>
      </c>
      <c r="E20" s="254" t="s">
        <v>92</v>
      </c>
      <c r="F20" s="130">
        <f>Результаты_Класс!T17</f>
        <v>23</v>
      </c>
      <c r="G20" s="53">
        <f>F20/'Ответы учащихся'!$E$7</f>
        <v>0.7931034482758621</v>
      </c>
      <c r="H20" s="254">
        <f>Результаты_Класс!T18</f>
        <v>6</v>
      </c>
      <c r="I20" s="53">
        <f>H20/'Ответы учащихся'!$E$7</f>
        <v>0.20689655172413793</v>
      </c>
      <c r="J20" s="254">
        <f>Результаты_Класс!T19</f>
        <v>0</v>
      </c>
      <c r="K20" s="53">
        <f>J20/'Ответы учащихся'!$E$7</f>
        <v>0</v>
      </c>
    </row>
    <row r="21" spans="1:11" ht="31.5">
      <c r="A21" s="319" t="s">
        <v>215</v>
      </c>
      <c r="B21" s="129" t="s">
        <v>202</v>
      </c>
      <c r="C21" s="253" t="s">
        <v>203</v>
      </c>
      <c r="D21" s="254" t="s">
        <v>83</v>
      </c>
      <c r="E21" s="254" t="s">
        <v>92</v>
      </c>
      <c r="F21" s="130">
        <f>Результаты_Класс!U17</f>
        <v>23</v>
      </c>
      <c r="G21" s="318">
        <f>F21/'Ответы учащихся'!$E$7</f>
        <v>0.7931034482758621</v>
      </c>
      <c r="H21" s="254">
        <f>Результаты_Класс!U18</f>
        <v>6</v>
      </c>
      <c r="I21" s="53">
        <f>H21/'Ответы учащихся'!$E$7</f>
        <v>0.20689655172413793</v>
      </c>
      <c r="J21" s="254">
        <f>Результаты_Класс!U19</f>
        <v>0</v>
      </c>
      <c r="K21" s="53">
        <f>J21/'Ответы учащихся'!$E$7</f>
        <v>0</v>
      </c>
    </row>
    <row r="22" spans="1:11" ht="31.5">
      <c r="A22" s="319" t="s">
        <v>216</v>
      </c>
      <c r="B22" s="129" t="s">
        <v>202</v>
      </c>
      <c r="C22" s="253" t="s">
        <v>203</v>
      </c>
      <c r="D22" s="254" t="s">
        <v>83</v>
      </c>
      <c r="E22" s="254" t="s">
        <v>92</v>
      </c>
      <c r="F22" s="130">
        <f>Результаты_Класс!V17</f>
        <v>17</v>
      </c>
      <c r="G22" s="318">
        <f>F22/'Ответы учащихся'!$E$7</f>
        <v>0.58620689655172409</v>
      </c>
      <c r="H22" s="254">
        <f>Результаты_Класс!V18</f>
        <v>10</v>
      </c>
      <c r="I22" s="53">
        <f>H22/'Ответы учащихся'!$E$7</f>
        <v>0.34482758620689657</v>
      </c>
      <c r="J22" s="254">
        <f>Результаты_Класс!V9</f>
        <v>0</v>
      </c>
      <c r="K22" s="53">
        <f>J22/'Ответы учащихся'!$E$7</f>
        <v>0</v>
      </c>
    </row>
    <row r="23" spans="1:11" ht="31.5">
      <c r="A23" s="319" t="s">
        <v>217</v>
      </c>
      <c r="B23" s="129" t="s">
        <v>202</v>
      </c>
      <c r="C23" s="253" t="s">
        <v>203</v>
      </c>
      <c r="D23" s="254" t="s">
        <v>83</v>
      </c>
      <c r="E23" s="254" t="s">
        <v>92</v>
      </c>
      <c r="F23" s="130">
        <f>Результаты_Класс!W17</f>
        <v>18</v>
      </c>
      <c r="G23" s="53">
        <f>F23/'Ответы учащихся'!$E$7</f>
        <v>0.62068965517241381</v>
      </c>
      <c r="H23" s="254">
        <f>Результаты_Класс!W18</f>
        <v>8</v>
      </c>
      <c r="I23" s="53">
        <f>H23/'Ответы учащихся'!$E$7</f>
        <v>0.27586206896551724</v>
      </c>
      <c r="J23" s="254">
        <f>Результаты_Класс!W19</f>
        <v>3</v>
      </c>
      <c r="K23" s="53">
        <f>J23/'Ответы учащихся'!$E$7</f>
        <v>0.10344827586206896</v>
      </c>
    </row>
    <row r="24" spans="1:11" ht="31.5">
      <c r="A24" s="319" t="s">
        <v>218</v>
      </c>
      <c r="B24" s="129" t="s">
        <v>202</v>
      </c>
      <c r="C24" s="253" t="s">
        <v>203</v>
      </c>
      <c r="D24" s="254" t="s">
        <v>83</v>
      </c>
      <c r="E24" s="254" t="s">
        <v>92</v>
      </c>
      <c r="F24" s="130">
        <f>Результаты_Класс!X17</f>
        <v>12</v>
      </c>
      <c r="G24" s="53">
        <f>F24/'Ответы учащихся'!$E$7</f>
        <v>0.41379310344827586</v>
      </c>
      <c r="H24" s="254">
        <f>Результаты_Класс!X18</f>
        <v>14</v>
      </c>
      <c r="I24" s="53">
        <f>H24/'Ответы учащихся'!$E$7</f>
        <v>0.48275862068965519</v>
      </c>
      <c r="J24" s="254">
        <f>Результаты_Класс!X19</f>
        <v>3</v>
      </c>
      <c r="K24" s="53">
        <f>J24/'Ответы учащихся'!$E$7</f>
        <v>0.10344827586206896</v>
      </c>
    </row>
    <row r="25" spans="1:11" ht="31.5">
      <c r="A25" s="319" t="s">
        <v>219</v>
      </c>
      <c r="B25" s="129" t="s">
        <v>202</v>
      </c>
      <c r="C25" s="253" t="s">
        <v>203</v>
      </c>
      <c r="D25" s="254" t="s">
        <v>83</v>
      </c>
      <c r="E25" s="254" t="s">
        <v>92</v>
      </c>
      <c r="F25" s="130">
        <f>Результаты_Класс!Y17</f>
        <v>22</v>
      </c>
      <c r="G25" s="318">
        <f>F25/'Ответы учащихся'!$E$7</f>
        <v>0.75862068965517238</v>
      </c>
      <c r="H25" s="254">
        <f>Результаты_Класс!Y18</f>
        <v>6</v>
      </c>
      <c r="I25" s="53">
        <f>H25/'Ответы учащихся'!$E$7</f>
        <v>0.20689655172413793</v>
      </c>
      <c r="J25" s="254">
        <f>Результаты_Класс!Y19</f>
        <v>1</v>
      </c>
      <c r="K25" s="53">
        <f>J25/'Ответы учащихся'!$E$7</f>
        <v>3.4482758620689655E-2</v>
      </c>
    </row>
    <row r="26" spans="1:11" ht="31.5">
      <c r="A26" s="319" t="s">
        <v>220</v>
      </c>
      <c r="B26" s="129" t="s">
        <v>202</v>
      </c>
      <c r="C26" s="253" t="s">
        <v>203</v>
      </c>
      <c r="D26" s="254" t="s">
        <v>83</v>
      </c>
      <c r="E26" s="254" t="s">
        <v>92</v>
      </c>
      <c r="F26" s="130">
        <f>Результаты_Класс!Z17</f>
        <v>23</v>
      </c>
      <c r="G26" s="318">
        <f>F26/'Ответы учащихся'!$E$7</f>
        <v>0.7931034482758621</v>
      </c>
      <c r="H26" s="254">
        <f>Результаты_Класс!Z18</f>
        <v>5</v>
      </c>
      <c r="I26" s="53">
        <f>H26/'Ответы учащихся'!$E$7</f>
        <v>0.17241379310344829</v>
      </c>
      <c r="J26" s="254">
        <f>Результаты_Класс!Z19</f>
        <v>1</v>
      </c>
      <c r="K26" s="53">
        <f>J26/'Ответы учащихся'!$E$7</f>
        <v>3.4482758620689655E-2</v>
      </c>
    </row>
    <row r="27" spans="1:11" ht="31.5">
      <c r="A27" s="319" t="s">
        <v>221</v>
      </c>
      <c r="B27" s="129" t="s">
        <v>202</v>
      </c>
      <c r="C27" s="253" t="s">
        <v>203</v>
      </c>
      <c r="D27" s="254" t="s">
        <v>83</v>
      </c>
      <c r="E27" s="254" t="s">
        <v>92</v>
      </c>
      <c r="F27" s="130">
        <f>Результаты_Класс!AA17</f>
        <v>16</v>
      </c>
      <c r="G27" s="53">
        <f>F27/'Ответы учащихся'!$E$7</f>
        <v>0.55172413793103448</v>
      </c>
      <c r="H27" s="254">
        <f>Результаты_Класс!AA18</f>
        <v>10</v>
      </c>
      <c r="I27" s="53">
        <f>H27/'Ответы учащихся'!$E$7</f>
        <v>0.34482758620689657</v>
      </c>
      <c r="J27" s="254">
        <f>Результаты_Класс!AA19</f>
        <v>3</v>
      </c>
      <c r="K27" s="53">
        <f>J27/'Ответы учащихся'!$E$7</f>
        <v>0.10344827586206896</v>
      </c>
    </row>
    <row r="28" spans="1:11" ht="36" customHeight="1">
      <c r="A28" s="613">
        <v>23</v>
      </c>
      <c r="B28" s="611" t="s">
        <v>204</v>
      </c>
      <c r="C28" s="614" t="s">
        <v>205</v>
      </c>
      <c r="D28" s="610" t="s">
        <v>86</v>
      </c>
      <c r="E28" s="254" t="s">
        <v>92</v>
      </c>
      <c r="F28" s="130">
        <f>Результаты_Класс!AB17</f>
        <v>4</v>
      </c>
      <c r="G28" s="53">
        <f>F28/'Ответы учащихся'!$E$7</f>
        <v>0.13793103448275862</v>
      </c>
      <c r="H28" s="610">
        <f>Результаты_Класс!AB18</f>
        <v>4</v>
      </c>
      <c r="I28" s="608">
        <f>H28/'Ответы учащихся'!$E$7</f>
        <v>0.13793103448275862</v>
      </c>
      <c r="J28" s="610">
        <f>Результаты_Класс!AB19</f>
        <v>0</v>
      </c>
      <c r="K28" s="608">
        <f>J28/'Ответы учащихся'!$E$7</f>
        <v>0</v>
      </c>
    </row>
    <row r="29" spans="1:11" ht="30.75" customHeight="1">
      <c r="A29" s="609"/>
      <c r="B29" s="612"/>
      <c r="C29" s="615"/>
      <c r="D29" s="609"/>
      <c r="E29" s="254" t="s">
        <v>91</v>
      </c>
      <c r="F29" s="130">
        <f>Результаты_Класс!AB16</f>
        <v>13</v>
      </c>
      <c r="G29" s="255">
        <f>F29/'Ответы учащихся'!$E$7</f>
        <v>0.44827586206896552</v>
      </c>
      <c r="H29" s="609"/>
      <c r="I29" s="609"/>
      <c r="J29" s="610"/>
      <c r="K29" s="609"/>
    </row>
    <row r="30" spans="1:11" ht="35.25" customHeight="1">
      <c r="A30" s="609"/>
      <c r="B30" s="612"/>
      <c r="C30" s="615"/>
      <c r="D30" s="609"/>
      <c r="E30" s="254" t="s">
        <v>146</v>
      </c>
      <c r="F30" s="130">
        <f>Результаты_Класс!AB15</f>
        <v>8</v>
      </c>
      <c r="G30" s="255">
        <f>F30/'Ответы учащихся'!$E$7</f>
        <v>0.27586206896551724</v>
      </c>
      <c r="H30" s="609"/>
      <c r="I30" s="609"/>
      <c r="J30" s="610"/>
      <c r="K30" s="609"/>
    </row>
  </sheetData>
  <sheetProtection password="C62D" sheet="1" objects="1" scenarios="1" selectLockedCells="1" selectUnlockedCells="1"/>
  <customSheetViews>
    <customSheetView guid="{BFE542F4-8A0C-4C42-A5CA-C7B0ACF2717E}">
      <selection activeCell="AA6" sqref="AA6"/>
      <pageMargins left="0.23622047244094491" right="0.23622047244094491" top="0.74803149606299213" bottom="0.74803149606299213" header="0.31496062992125984" footer="0.31496062992125984"/>
      <pageSetup paperSize="9" orientation="landscape" verticalDpi="0" r:id="rId1"/>
      <headerFooter>
        <oddHeader>&amp;CКГБУ "Региональный центр оценки качества образования"</oddHeader>
      </headerFooter>
    </customSheetView>
  </customSheetViews>
  <mergeCells count="20">
    <mergeCell ref="A1:K1"/>
    <mergeCell ref="F4:G4"/>
    <mergeCell ref="H4:I4"/>
    <mergeCell ref="B2:F2"/>
    <mergeCell ref="J4:K4"/>
    <mergeCell ref="G2:H2"/>
    <mergeCell ref="A3:K3"/>
    <mergeCell ref="C4:C5"/>
    <mergeCell ref="A4:A5"/>
    <mergeCell ref="B4:B5"/>
    <mergeCell ref="E4:E5"/>
    <mergeCell ref="D4:D5"/>
    <mergeCell ref="I28:I30"/>
    <mergeCell ref="J28:J30"/>
    <mergeCell ref="K28:K30"/>
    <mergeCell ref="B28:B30"/>
    <mergeCell ref="A28:A30"/>
    <mergeCell ref="C28:C30"/>
    <mergeCell ref="D28:D30"/>
    <mergeCell ref="H28:H30"/>
  </mergeCells>
  <pageMargins left="0.23622047244094491" right="0.23622047244094491" top="0.74803149606299213" bottom="0.74803149606299213" header="0.31496062992125984" footer="0.31496062992125984"/>
  <pageSetup paperSize="9" orientation="landscape" r:id="rId2"/>
  <headerFooter>
    <oddHeader>&amp;CКГБУ "Региональный центр оценки качества образования"</oddHeader>
  </headerFooter>
  <ignoredErrors>
    <ignoredError sqref="H6:H7 H8:H23 J6:J23 H24:H30 J24:J30" formula="1"/>
    <ignoredError sqref="C8 C9:C17 C18:C30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M42"/>
  <sheetViews>
    <sheetView view="pageLayout" topLeftCell="A7" workbookViewId="0">
      <selection activeCell="K20" sqref="K20"/>
    </sheetView>
  </sheetViews>
  <sheetFormatPr defaultRowHeight="12.75"/>
  <cols>
    <col min="2" max="2" width="12.28515625" customWidth="1"/>
    <col min="3" max="10" width="12.42578125" customWidth="1"/>
  </cols>
  <sheetData>
    <row r="1" spans="1:13" ht="6" customHeight="1"/>
    <row r="2" spans="1:13" ht="21" customHeight="1">
      <c r="A2" s="607" t="s">
        <v>252</v>
      </c>
      <c r="B2" s="607"/>
      <c r="C2" s="607"/>
      <c r="D2" s="607"/>
      <c r="E2" s="607"/>
      <c r="F2" s="607"/>
      <c r="G2" s="607"/>
      <c r="H2" s="607"/>
      <c r="I2" s="607"/>
      <c r="J2" s="607"/>
      <c r="K2" s="105"/>
      <c r="L2" s="105"/>
      <c r="M2" s="105"/>
    </row>
    <row r="3" spans="1:13" ht="32.25" customHeight="1">
      <c r="A3" s="275" t="s">
        <v>87</v>
      </c>
      <c r="B3" s="606" t="str">
        <f>'СПИСОК КЛАССА'!E3</f>
        <v>МУНИЦИПАЛЬНОЕ ОБЩЕОБРАЗОВАТЕЛЬНОЕ УЧРЕЖДЕНИЕ СРЕДНЯЯ ОБЩЕОБРАЗОВАТЕЛЬНАЯ ШКОЛА № 27</v>
      </c>
      <c r="C3" s="606"/>
      <c r="D3" s="606"/>
      <c r="E3" s="606"/>
      <c r="F3" s="606"/>
      <c r="H3" s="276" t="s">
        <v>88</v>
      </c>
      <c r="I3" s="201" t="str">
        <f>'СПИСОК КЛАССА'!J1</f>
        <v>0501</v>
      </c>
      <c r="J3" s="106"/>
      <c r="L3" s="52"/>
      <c r="M3" s="52"/>
    </row>
    <row r="4" spans="1:13" ht="7.5" customHeight="1">
      <c r="A4" s="114"/>
      <c r="B4" s="136"/>
      <c r="C4" s="146"/>
      <c r="D4" s="146"/>
      <c r="E4" s="146"/>
      <c r="F4" s="146"/>
      <c r="G4" s="106"/>
      <c r="H4" s="106"/>
      <c r="I4" s="135"/>
      <c r="J4" s="106"/>
      <c r="L4" s="52"/>
      <c r="M4" s="52"/>
    </row>
    <row r="5" spans="1:13" ht="29.25" customHeight="1">
      <c r="B5" s="629" t="s">
        <v>115</v>
      </c>
      <c r="C5" s="604" t="s">
        <v>120</v>
      </c>
      <c r="D5" s="604"/>
      <c r="E5" s="604"/>
      <c r="F5" s="604"/>
      <c r="G5" s="604"/>
      <c r="H5" s="604"/>
      <c r="I5" s="604"/>
      <c r="J5" s="604"/>
      <c r="K5" s="104"/>
      <c r="L5" s="104"/>
      <c r="M5" s="104"/>
    </row>
    <row r="6" spans="1:13" ht="23.25" customHeight="1">
      <c r="B6" s="630"/>
      <c r="C6" s="627" t="s">
        <v>119</v>
      </c>
      <c r="D6" s="628"/>
      <c r="E6" s="627" t="s">
        <v>116</v>
      </c>
      <c r="F6" s="628"/>
      <c r="G6" s="627" t="s">
        <v>117</v>
      </c>
      <c r="H6" s="628"/>
      <c r="I6" s="604" t="s">
        <v>118</v>
      </c>
      <c r="J6" s="604"/>
    </row>
    <row r="7" spans="1:13" ht="23.25" customHeight="1">
      <c r="B7" s="631"/>
      <c r="C7" s="132" t="s">
        <v>152</v>
      </c>
      <c r="D7" s="132" t="s">
        <v>153</v>
      </c>
      <c r="E7" s="132" t="s">
        <v>152</v>
      </c>
      <c r="F7" s="132" t="s">
        <v>153</v>
      </c>
      <c r="G7" s="132" t="s">
        <v>152</v>
      </c>
      <c r="H7" s="132" t="s">
        <v>153</v>
      </c>
      <c r="I7" s="132" t="s">
        <v>152</v>
      </c>
      <c r="J7" s="132" t="s">
        <v>153</v>
      </c>
    </row>
    <row r="8" spans="1:13" ht="22.5" customHeight="1">
      <c r="B8" s="107">
        <f>'Ответы учащихся'!E7</f>
        <v>29</v>
      </c>
      <c r="C8" s="139">
        <f>Результаты_Класс!AO19</f>
        <v>4</v>
      </c>
      <c r="D8" s="108">
        <f>C8/$B$8</f>
        <v>0.13793103448275862</v>
      </c>
      <c r="E8" s="139">
        <f>Результаты_Класс!AO18</f>
        <v>9</v>
      </c>
      <c r="F8" s="108">
        <f>E8/$B$8</f>
        <v>0.31034482758620691</v>
      </c>
      <c r="G8" s="139">
        <f>Результаты_Класс!AO17</f>
        <v>10</v>
      </c>
      <c r="H8" s="108">
        <f>G8/$B$8</f>
        <v>0.34482758620689657</v>
      </c>
      <c r="I8" s="140">
        <f>Результаты_Класс!AO16</f>
        <v>6</v>
      </c>
      <c r="J8" s="108">
        <f>I8/$B$8</f>
        <v>0.20689655172413793</v>
      </c>
      <c r="K8" s="109"/>
    </row>
    <row r="9" spans="1:13">
      <c r="B9" s="141"/>
      <c r="C9" s="141"/>
      <c r="D9" s="391" t="s">
        <v>119</v>
      </c>
      <c r="E9" s="391"/>
      <c r="F9" s="391" t="s">
        <v>116</v>
      </c>
      <c r="G9" s="391"/>
      <c r="H9" s="391" t="s">
        <v>117</v>
      </c>
      <c r="I9" s="391"/>
      <c r="J9" s="391" t="s">
        <v>118</v>
      </c>
    </row>
    <row r="17" spans="12:12">
      <c r="L17" s="56"/>
    </row>
    <row r="18" spans="12:12">
      <c r="L18" s="56"/>
    </row>
    <row r="19" spans="12:12">
      <c r="L19" s="56"/>
    </row>
    <row r="20" spans="12:12">
      <c r="L20" s="56"/>
    </row>
    <row r="21" spans="12:12">
      <c r="L21" s="56"/>
    </row>
    <row r="22" spans="12:12">
      <c r="L22" s="56"/>
    </row>
    <row r="23" spans="12:12">
      <c r="L23" s="56"/>
    </row>
    <row r="24" spans="12:12">
      <c r="L24" s="56"/>
    </row>
    <row r="25" spans="12:12">
      <c r="L25" s="56"/>
    </row>
    <row r="26" spans="12:12">
      <c r="L26" s="56"/>
    </row>
    <row r="27" spans="12:12">
      <c r="L27" s="56"/>
    </row>
    <row r="28" spans="12:12">
      <c r="L28" s="56"/>
    </row>
    <row r="29" spans="12:12">
      <c r="L29" s="56"/>
    </row>
    <row r="30" spans="12:12">
      <c r="L30" s="56"/>
    </row>
    <row r="31" spans="12:12">
      <c r="L31" s="56"/>
    </row>
    <row r="32" spans="12:12">
      <c r="L32" s="56"/>
    </row>
    <row r="33" spans="12:12">
      <c r="L33" s="56"/>
    </row>
    <row r="34" spans="12:12">
      <c r="L34" s="56"/>
    </row>
    <row r="35" spans="12:12">
      <c r="L35" s="56"/>
    </row>
    <row r="36" spans="12:12">
      <c r="L36" s="56"/>
    </row>
    <row r="37" spans="12:12">
      <c r="L37" s="56"/>
    </row>
    <row r="38" spans="12:12">
      <c r="L38" s="56"/>
    </row>
    <row r="39" spans="12:12">
      <c r="L39" s="56"/>
    </row>
    <row r="40" spans="12:12">
      <c r="L40" s="56"/>
    </row>
    <row r="41" spans="12:12">
      <c r="L41" s="56"/>
    </row>
    <row r="42" spans="12:12">
      <c r="L42" s="56"/>
    </row>
  </sheetData>
  <sheetProtection password="C62D" sheet="1" scenarios="1" selectLockedCells="1" selectUnlockedCells="1"/>
  <customSheetViews>
    <customSheetView guid="{BFE542F4-8A0C-4C42-A5CA-C7B0ACF2717E}">
      <selection activeCell="AA6" sqref="AA6"/>
      <pageMargins left="0.7" right="0.7" top="0.75" bottom="0.75" header="0.3" footer="0.3"/>
      <pageSetup paperSize="9" orientation="portrait" verticalDpi="0" r:id="rId1"/>
    </customSheetView>
  </customSheetViews>
  <mergeCells count="8">
    <mergeCell ref="A2:J2"/>
    <mergeCell ref="B3:F3"/>
    <mergeCell ref="C6:D6"/>
    <mergeCell ref="B5:B7"/>
    <mergeCell ref="E6:F6"/>
    <mergeCell ref="G6:H6"/>
    <mergeCell ref="I6:J6"/>
    <mergeCell ref="C5:J5"/>
  </mergeCells>
  <pageMargins left="0.7" right="0.7" top="0.75" bottom="0.75" header="0.3" footer="0.3"/>
  <pageSetup paperSize="9" orientation="landscape" r:id="rId2"/>
  <headerFooter>
    <oddHeader>&amp;CКГБУ "Региональный центр оценки качества образования"</oddHeader>
  </headerFooter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K157"/>
  <sheetViews>
    <sheetView view="pageLayout" topLeftCell="C1" zoomScale="90" zoomScaleNormal="90" zoomScalePageLayoutView="90" workbookViewId="0">
      <selection activeCell="K3" sqref="K3"/>
    </sheetView>
  </sheetViews>
  <sheetFormatPr defaultRowHeight="12.75"/>
  <cols>
    <col min="1" max="1" width="9.85546875" style="1" hidden="1" customWidth="1"/>
    <col min="2" max="2" width="4" style="1" hidden="1" customWidth="1"/>
    <col min="3" max="3" width="4.140625" style="1" customWidth="1"/>
    <col min="4" max="4" width="30.42578125" style="1" customWidth="1"/>
    <col min="5" max="5" width="14.85546875" style="1" customWidth="1"/>
    <col min="6" max="6" width="16.5703125" style="1" customWidth="1"/>
    <col min="7" max="7" width="7" style="1" hidden="1" customWidth="1"/>
    <col min="8" max="8" width="18.42578125" style="1" customWidth="1"/>
    <col min="9" max="9" width="5.28515625" style="1" hidden="1" customWidth="1"/>
    <col min="10" max="10" width="0" style="1" hidden="1" customWidth="1"/>
    <col min="11" max="11" width="16.28515625" style="1" customWidth="1"/>
    <col min="12" max="16384" width="9.140625" style="1"/>
  </cols>
  <sheetData>
    <row r="1" spans="1:11" ht="17.25" customHeight="1">
      <c r="B1" s="102"/>
      <c r="C1" s="646" t="s">
        <v>278</v>
      </c>
      <c r="D1" s="646"/>
      <c r="E1" s="646"/>
      <c r="F1" s="646"/>
      <c r="G1" s="646"/>
      <c r="H1" s="646"/>
      <c r="I1" s="646"/>
      <c r="J1" s="646"/>
      <c r="K1" s="646"/>
    </row>
    <row r="2" spans="1:11" ht="33.75" customHeight="1" thickBot="1">
      <c r="B2" s="102"/>
      <c r="C2" s="275" t="s">
        <v>87</v>
      </c>
      <c r="D2" s="606" t="str">
        <f>'Ответы учащихся'!G4</f>
        <v>МУНИЦИПАЛЬНОЕ ОБЩЕОБРАЗОВАТЕЛЬНОЕ УЧРЕЖДЕНИЕ СРЕДНЯЯ ОБЩЕОБРАЗОВАТЕЛЬНАЯ ШКОЛА № 27</v>
      </c>
      <c r="E2" s="606"/>
      <c r="F2" s="606"/>
      <c r="G2" s="462"/>
      <c r="H2" s="463" t="s">
        <v>88</v>
      </c>
      <c r="I2" s="52"/>
      <c r="J2" s="52"/>
      <c r="K2" s="470">
        <f>'СПИСОК КЛАССА'!L1</f>
        <v>0</v>
      </c>
    </row>
    <row r="3" spans="1:11" ht="8.25" customHeight="1" thickBot="1">
      <c r="B3" s="102"/>
      <c r="C3" s="464"/>
      <c r="D3" s="465"/>
      <c r="E3" s="465"/>
      <c r="F3" s="465"/>
      <c r="G3" s="466"/>
      <c r="H3" s="467"/>
      <c r="I3" s="468"/>
      <c r="J3" s="468"/>
      <c r="K3" s="469"/>
    </row>
    <row r="4" spans="1:11" ht="14.25" customHeight="1">
      <c r="A4" s="10"/>
      <c r="B4" s="632" t="s">
        <v>2</v>
      </c>
      <c r="C4" s="635" t="s">
        <v>2</v>
      </c>
      <c r="D4" s="638" t="s">
        <v>3</v>
      </c>
      <c r="E4" s="638" t="s">
        <v>17</v>
      </c>
      <c r="F4" s="638" t="str">
        <f>Результаты_Класс!AL9</f>
        <v>Процент выполнения заданий базового уровня</v>
      </c>
      <c r="G4" s="638">
        <v>1</v>
      </c>
      <c r="H4" s="638" t="str">
        <f>Результаты_Класс!AN9</f>
        <v>Процент от максимального балла за выполнение заданий повышенного уровня</v>
      </c>
      <c r="I4" s="598">
        <v>2</v>
      </c>
      <c r="J4" s="381"/>
      <c r="K4" s="643" t="s">
        <v>95</v>
      </c>
    </row>
    <row r="5" spans="1:11" ht="38.25" customHeight="1">
      <c r="A5" s="11"/>
      <c r="B5" s="633"/>
      <c r="C5" s="636"/>
      <c r="D5" s="639"/>
      <c r="E5" s="639"/>
      <c r="F5" s="639"/>
      <c r="G5" s="639"/>
      <c r="H5" s="639"/>
      <c r="I5" s="599"/>
      <c r="J5" s="268"/>
      <c r="K5" s="644"/>
    </row>
    <row r="6" spans="1:11" ht="47.25" customHeight="1" thickBot="1">
      <c r="A6" s="11"/>
      <c r="B6" s="634"/>
      <c r="C6" s="637"/>
      <c r="D6" s="640"/>
      <c r="E6" s="640"/>
      <c r="F6" s="640"/>
      <c r="G6" s="640"/>
      <c r="H6" s="640"/>
      <c r="I6" s="647"/>
      <c r="J6" s="284"/>
      <c r="K6" s="645"/>
    </row>
    <row r="7" spans="1:11" ht="24.75" hidden="1" customHeight="1">
      <c r="A7" s="11"/>
      <c r="B7" s="354"/>
      <c r="C7" s="372"/>
      <c r="D7" s="373"/>
      <c r="E7" s="374"/>
      <c r="F7" s="375"/>
      <c r="G7" s="375"/>
      <c r="H7" s="375"/>
      <c r="I7" s="380"/>
      <c r="J7" s="6"/>
      <c r="K7" s="379"/>
    </row>
    <row r="8" spans="1:11" ht="24.75" hidden="1" customHeight="1">
      <c r="A8" s="11"/>
      <c r="B8" s="354"/>
      <c r="C8" s="232"/>
      <c r="D8" s="256"/>
      <c r="E8" s="292"/>
      <c r="F8" s="231"/>
      <c r="G8" s="231"/>
      <c r="H8" s="231"/>
      <c r="I8" s="246"/>
      <c r="J8" s="6"/>
    </row>
    <row r="9" spans="1:11" ht="24.75" hidden="1" customHeight="1">
      <c r="A9" s="11"/>
      <c r="B9" s="354"/>
      <c r="C9" s="232"/>
      <c r="D9" s="256"/>
      <c r="E9" s="292"/>
      <c r="F9" s="231"/>
      <c r="G9" s="231"/>
      <c r="H9" s="231"/>
      <c r="I9" s="246"/>
      <c r="J9" s="6"/>
    </row>
    <row r="10" spans="1:11" ht="24.75" hidden="1" customHeight="1">
      <c r="A10" s="11"/>
      <c r="B10" s="355"/>
      <c r="C10" s="226"/>
      <c r="D10" s="227"/>
      <c r="E10" s="293"/>
      <c r="F10" s="229"/>
      <c r="G10" s="229"/>
      <c r="H10" s="229"/>
      <c r="I10" s="356"/>
      <c r="J10" s="6"/>
    </row>
    <row r="11" spans="1:11" ht="24.75" hidden="1" customHeight="1">
      <c r="A11" s="11"/>
      <c r="B11" s="357"/>
      <c r="C11" s="166"/>
      <c r="D11" s="167"/>
      <c r="E11" s="293"/>
      <c r="F11" s="170"/>
      <c r="G11" s="170"/>
      <c r="H11" s="170"/>
      <c r="I11" s="358"/>
      <c r="J11" s="6"/>
    </row>
    <row r="12" spans="1:11" ht="24.75" hidden="1" customHeight="1">
      <c r="A12" s="11"/>
      <c r="B12" s="357"/>
      <c r="C12" s="166"/>
      <c r="D12" s="167"/>
      <c r="E12" s="293"/>
      <c r="F12" s="170"/>
      <c r="G12" s="170"/>
      <c r="H12" s="170"/>
      <c r="I12" s="358"/>
      <c r="J12" s="6"/>
    </row>
    <row r="13" spans="1:11" ht="24.75" hidden="1" customHeight="1">
      <c r="A13" s="11"/>
      <c r="B13" s="357"/>
      <c r="C13" s="166"/>
      <c r="D13" s="167"/>
      <c r="E13" s="293"/>
      <c r="F13" s="170"/>
      <c r="G13" s="170"/>
      <c r="H13" s="170"/>
      <c r="I13" s="358"/>
      <c r="J13" s="6"/>
    </row>
    <row r="14" spans="1:11" ht="32.25" hidden="1" customHeight="1" thickBot="1">
      <c r="A14" s="11">
        <f>SUM(A15:A54)</f>
        <v>29</v>
      </c>
      <c r="B14" s="365" t="s">
        <v>2</v>
      </c>
      <c r="C14" s="173" t="s">
        <v>21</v>
      </c>
      <c r="D14" s="174" t="s">
        <v>20</v>
      </c>
      <c r="E14" s="361"/>
      <c r="F14" s="353"/>
      <c r="G14" s="353">
        <v>100</v>
      </c>
      <c r="H14" s="353"/>
      <c r="I14" s="359">
        <v>100</v>
      </c>
      <c r="J14" s="6"/>
    </row>
    <row r="15" spans="1:11" ht="15" customHeight="1">
      <c r="A15" s="12">
        <f>IF('СПИСОК КЛАССА'!J20&gt;0,1,0)</f>
        <v>1</v>
      </c>
      <c r="B15" s="367">
        <v>1</v>
      </c>
      <c r="C15" s="388">
        <f>IF(NOT(ISBLANK('СПИСОК КЛАССА'!C20)),'СПИСОК КЛАССА'!C20,"")</f>
        <v>1</v>
      </c>
      <c r="D15" s="370" t="str">
        <f>IF(NOT(ISBLANK('СПИСОК КЛАССА'!D20)),IF($A15=1,'СПИСОК КЛАССА'!D20, "УЧЕНИК НЕ ВЫПОЛНЯЛ РАБОТУ"),"")</f>
        <v>АНИКЕЕВА АНАСТАСИЯ</v>
      </c>
      <c r="E15" s="362">
        <f>IF(AND(OR($C15&lt;&gt;"",$D15&lt;&gt;""),$A15=1,Результаты_Класс!$AJ$6="ДА"),Результаты_Класс!AJ20*100,"")</f>
        <v>52</v>
      </c>
      <c r="F15" s="371">
        <f>IF(AND(OR($C15&lt;&gt;"",$D15&lt;&gt;""),$A15=1,Результаты_Класс!$AJ$6="ДА"),Результаты_Класс!AL20,"")</f>
        <v>54.54545454545454</v>
      </c>
      <c r="G15" s="386">
        <f>IF(AND(OR($C15&lt;&gt;"",$D15&lt;&gt;""),$A15=1,Результаты_Класс!$AJ$6="ДА"),$G$14-F15,"")</f>
        <v>45.45454545454546</v>
      </c>
      <c r="H15" s="371">
        <f>IF(AND(OR($C15&lt;&gt;"",$D15&lt;&gt;""),$A15=1,Результаты_Класс!$AJ$6="ДА"),Результаты_Класс!AN20,"")</f>
        <v>50</v>
      </c>
      <c r="I15" s="363">
        <f>IF(AND(OR($C15&lt;&gt;"",$D15&lt;&gt;""),$A15=1,Результаты_Класс!$AJ$6="ДА"),$I$14-H15,"")</f>
        <v>50</v>
      </c>
      <c r="J15" s="6">
        <v>100</v>
      </c>
      <c r="K15" s="384" t="str">
        <f>IF(AND(OR($C15&lt;&gt;"",$D15&lt;&gt;""),$A15=1,Результаты_Класс!$AJ$6="ДА"),Результаты_Класс!AO20,"")</f>
        <v>БАЗОВЫЙ</v>
      </c>
    </row>
    <row r="16" spans="1:11" ht="12.75" customHeight="1">
      <c r="A16" s="12">
        <f>IF('СПИСОК КЛАССА'!J21&gt;0,1,0)</f>
        <v>1</v>
      </c>
      <c r="B16" s="368">
        <v>2</v>
      </c>
      <c r="C16" s="388">
        <f>IF(NOT(ISBLANK('СПИСОК КЛАССА'!C21)),'СПИСОК КЛАССА'!C21,"")</f>
        <v>2</v>
      </c>
      <c r="D16" s="370" t="str">
        <f>IF(NOT(ISBLANK('СПИСОК КЛАССА'!D21)),IF($A16=1,'СПИСОК КЛАССА'!D21, "УЧЕНИК НЕ ВЫПОЛНЯЛ РАБОТУ"),"")</f>
        <v>БАБИЙ ЕВГЕНИЙ</v>
      </c>
      <c r="E16" s="362">
        <f>IF(AND(OR($C16&lt;&gt;"",$D16&lt;&gt;""),$A16=1,Результаты_Класс!$AJ$6="ДА"),Результаты_Класс!AJ21*100,"")</f>
        <v>100</v>
      </c>
      <c r="F16" s="371">
        <f>IF(AND(OR($C16&lt;&gt;"",$D16&lt;&gt;""),$A16=1,Результаты_Класс!$AJ$6="ДА"),Результаты_Класс!AL21,"")</f>
        <v>100</v>
      </c>
      <c r="G16" s="386">
        <f>IF(AND(OR($C16&lt;&gt;"",$D16&lt;&gt;""),$A16=1,Результаты_Класс!$AJ$6="ДА"),$G$14-F16,"")</f>
        <v>0</v>
      </c>
      <c r="H16" s="371">
        <f>IF(AND(OR($C16&lt;&gt;"",$D16&lt;&gt;""),$A16=1,Результаты_Класс!$AJ$6="ДА"),Результаты_Класс!AN21,"")</f>
        <v>100</v>
      </c>
      <c r="I16" s="364">
        <f>IF(AND(OR($C16&lt;&gt;"",$D16&lt;&gt;""),$A16=1,Результаты_Класс!$AJ$6="ДА"),$I$14-H16,"")</f>
        <v>0</v>
      </c>
      <c r="J16" s="6">
        <v>100</v>
      </c>
      <c r="K16" s="384" t="str">
        <f>IF(AND(OR($C16&lt;&gt;"",$D16&lt;&gt;""),$A16=1,Результаты_Класс!$AJ$6="ДА"),Результаты_Класс!AO21,"")</f>
        <v>ВЫСОКИЙ</v>
      </c>
    </row>
    <row r="17" spans="1:11" ht="12.75" customHeight="1">
      <c r="A17" s="12">
        <f>IF('СПИСОК КЛАССА'!J22&gt;0,1,0)</f>
        <v>1</v>
      </c>
      <c r="B17" s="368">
        <v>3</v>
      </c>
      <c r="C17" s="388">
        <f>IF(NOT(ISBLANK('СПИСОК КЛАССА'!C22)),'СПИСОК КЛАССА'!C22,"")</f>
        <v>3</v>
      </c>
      <c r="D17" s="370" t="str">
        <f>IF(NOT(ISBLANK('СПИСОК КЛАССА'!D22)),IF($A17=1,'СПИСОК КЛАССА'!D22, "УЧЕНИК НЕ ВЫПОЛНЯЛ РАБОТУ"),"")</f>
        <v>БОБЕР НАТАЛЬЯ</v>
      </c>
      <c r="E17" s="362">
        <f>IF(AND(OR($C17&lt;&gt;"",$D17&lt;&gt;""),$A17=1,Результаты_Класс!$AJ$6="ДА"),Результаты_Класс!AJ22*100,"")</f>
        <v>52</v>
      </c>
      <c r="F17" s="371">
        <f>IF(AND(OR($C17&lt;&gt;"",$D17&lt;&gt;""),$A17=1,Результаты_Класс!$AJ$6="ДА"),Результаты_Класс!AL22,"")</f>
        <v>72.727272727272734</v>
      </c>
      <c r="G17" s="386">
        <f>IF(AND(OR($C17&lt;&gt;"",$D17&lt;&gt;""),$A17=1,Результаты_Класс!$AJ$6="ДА"),$G$14-F17,"")</f>
        <v>27.272727272727266</v>
      </c>
      <c r="H17" s="371">
        <f>IF(AND(OR($C17&lt;&gt;"",$D17&lt;&gt;""),$A17=1,Результаты_Класс!$AJ$6="ДА"),Результаты_Класс!AN22,"")</f>
        <v>35.714285714285715</v>
      </c>
      <c r="I17" s="364">
        <f>IF(AND(OR($C17&lt;&gt;"",$D17&lt;&gt;""),$A17=1,Результаты_Класс!$AJ$6="ДА"),$I$14-H17,"")</f>
        <v>64.285714285714278</v>
      </c>
      <c r="J17" s="6">
        <v>100</v>
      </c>
      <c r="K17" s="384" t="str">
        <f>IF(AND(OR($C17&lt;&gt;"",$D17&lt;&gt;""),$A17=1,Результаты_Класс!$AJ$6="ДА"),Результаты_Класс!AO22,"")</f>
        <v>ПОВЫШЕННЫЙ</v>
      </c>
    </row>
    <row r="18" spans="1:11" ht="12.75" customHeight="1">
      <c r="A18" s="12">
        <f>IF('СПИСОК КЛАССА'!J23&gt;0,1,0)</f>
        <v>1</v>
      </c>
      <c r="B18" s="368">
        <v>4</v>
      </c>
      <c r="C18" s="388">
        <f>IF(NOT(ISBLANK('СПИСОК КЛАССА'!C23)),'СПИСОК КЛАССА'!C23,"")</f>
        <v>4</v>
      </c>
      <c r="D18" s="370" t="str">
        <f>IF(NOT(ISBLANK('СПИСОК КЛАССА'!D23)),IF($A18=1,'СПИСОК КЛАССА'!D23, "УЧЕНИК НЕ ВЫПОЛНЯЛ РАБОТУ"),"")</f>
        <v>БОГДАНОВА РОЗАЛИЯ</v>
      </c>
      <c r="E18" s="362">
        <f>IF(AND(OR($C18&lt;&gt;"",$D18&lt;&gt;""),$A18=1,Результаты_Класс!$AJ$6="ДА"),Результаты_Класс!AJ23*100,"")</f>
        <v>44</v>
      </c>
      <c r="F18" s="371">
        <f>IF(AND(OR($C18&lt;&gt;"",$D18&lt;&gt;""),$A18=1,Результаты_Класс!$AJ$6="ДА"),Результаты_Класс!AL23,"")</f>
        <v>54.54545454545454</v>
      </c>
      <c r="G18" s="386">
        <f>IF(AND(OR($C18&lt;&gt;"",$D18&lt;&gt;""),$A18=1,Результаты_Класс!$AJ$6="ДА"),$G$14-F18,"")</f>
        <v>45.45454545454546</v>
      </c>
      <c r="H18" s="371">
        <f>IF(AND(OR($C18&lt;&gt;"",$D18&lt;&gt;""),$A18=1,Результаты_Класс!$AJ$6="ДА"),Результаты_Класс!AN23,"")</f>
        <v>35.714285714285715</v>
      </c>
      <c r="I18" s="364">
        <f>IF(AND(OR($C18&lt;&gt;"",$D18&lt;&gt;""),$A18=1,Результаты_Класс!$AJ$6="ДА"),$I$14-H18,"")</f>
        <v>64.285714285714278</v>
      </c>
      <c r="J18" s="6">
        <v>100</v>
      </c>
      <c r="K18" s="384" t="str">
        <f>IF(AND(OR($C18&lt;&gt;"",$D18&lt;&gt;""),$A18=1,Результаты_Класс!$AJ$6="ДА"),Результаты_Класс!AO23,"")</f>
        <v>БАЗОВЫЙ</v>
      </c>
    </row>
    <row r="19" spans="1:11" ht="12.75" customHeight="1">
      <c r="A19" s="12">
        <f>IF('СПИСОК КЛАССА'!J24&gt;0,1,0)</f>
        <v>1</v>
      </c>
      <c r="B19" s="368">
        <v>5</v>
      </c>
      <c r="C19" s="388">
        <f>IF(NOT(ISBLANK('СПИСОК КЛАССА'!C24)),'СПИСОК КЛАССА'!C24,"")</f>
        <v>5</v>
      </c>
      <c r="D19" s="370" t="str">
        <f>IF(NOT(ISBLANK('СПИСОК КЛАССА'!D24)),IF($A19=1,'СПИСОК КЛАССА'!D24, "УЧЕНИК НЕ ВЫПОЛНЯЛ РАБОТУ"),"")</f>
        <v>ВАЩЕНКОВ ЕВГЕНИЙ</v>
      </c>
      <c r="E19" s="362">
        <f>IF(AND(OR($C19&lt;&gt;"",$D19&lt;&gt;""),$A19=1,Результаты_Класс!$AJ$6="ДА"),Результаты_Класс!AJ24*100,"")</f>
        <v>32</v>
      </c>
      <c r="F19" s="371">
        <f>IF(AND(OR($C19&lt;&gt;"",$D19&lt;&gt;""),$A19=1,Результаты_Класс!$AJ$6="ДА"),Результаты_Класс!AL24,"")</f>
        <v>36.363636363636367</v>
      </c>
      <c r="G19" s="386">
        <f>IF(AND(OR($C19&lt;&gt;"",$D19&lt;&gt;""),$A19=1,Результаты_Класс!$AJ$6="ДА"),$G$14-F19,"")</f>
        <v>63.636363636363633</v>
      </c>
      <c r="H19" s="371">
        <f>IF(AND(OR($C19&lt;&gt;"",$D19&lt;&gt;""),$A19=1,Результаты_Класс!$AJ$6="ДА"),Результаты_Класс!AN24,"")</f>
        <v>28.571428571428569</v>
      </c>
      <c r="I19" s="364">
        <f>IF(AND(OR($C19&lt;&gt;"",$D19&lt;&gt;""),$A19=1,Результаты_Класс!$AJ$6="ДА"),$I$14-H19,"")</f>
        <v>71.428571428571431</v>
      </c>
      <c r="J19" s="6">
        <v>100</v>
      </c>
      <c r="K19" s="384" t="str">
        <f>IF(AND(OR($C19&lt;&gt;"",$D19&lt;&gt;""),$A19=1,Результаты_Класс!$AJ$6="ДА"),Результаты_Класс!AO24,"")</f>
        <v>НИЗКИЙ</v>
      </c>
    </row>
    <row r="20" spans="1:11" ht="12.75" customHeight="1">
      <c r="A20" s="12">
        <f>IF('СПИСОК КЛАССА'!J25&gt;0,1,0)</f>
        <v>1</v>
      </c>
      <c r="B20" s="368">
        <v>6</v>
      </c>
      <c r="C20" s="388">
        <f>IF(NOT(ISBLANK('СПИСОК КЛАССА'!C25)),'СПИСОК КЛАССА'!C25,"")</f>
        <v>6</v>
      </c>
      <c r="D20" s="370" t="str">
        <f>IF(NOT(ISBLANK('СПИСОК КЛАССА'!D25)),IF($A20=1,'СПИСОК КЛАССА'!D25, "УЧЕНИК НЕ ВЫПОЛНЯЛ РАБОТУ"),"")</f>
        <v>ГРАЧЕВА ЯРОСЛАВА</v>
      </c>
      <c r="E20" s="362">
        <f>IF(AND(OR($C20&lt;&gt;"",$D20&lt;&gt;""),$A20=1,Результаты_Класс!$AJ$6="ДА"),Результаты_Класс!AJ25*100,"")</f>
        <v>84</v>
      </c>
      <c r="F20" s="371">
        <f>IF(AND(OR($C20&lt;&gt;"",$D20&lt;&gt;""),$A20=1,Результаты_Класс!$AJ$6="ДА"),Результаты_Класс!AL25,"")</f>
        <v>72.727272727272734</v>
      </c>
      <c r="G20" s="386">
        <f>IF(AND(OR($C20&lt;&gt;"",$D20&lt;&gt;""),$A20=1,Результаты_Класс!$AJ$6="ДА"),$G$14-F20,"")</f>
        <v>27.272727272727266</v>
      </c>
      <c r="H20" s="371">
        <f>IF(AND(OR($C20&lt;&gt;"",$D20&lt;&gt;""),$A20=1,Результаты_Класс!$AJ$6="ДА"),Результаты_Класс!AN25,"")</f>
        <v>92.857142857142861</v>
      </c>
      <c r="I20" s="364">
        <f>IF(AND(OR($C20&lt;&gt;"",$D20&lt;&gt;""),$A20=1,Результаты_Класс!$AJ$6="ДА"),$I$14-H20,"")</f>
        <v>7.1428571428571388</v>
      </c>
      <c r="J20" s="6">
        <v>100</v>
      </c>
      <c r="K20" s="384" t="str">
        <f>IF(AND(OR($C20&lt;&gt;"",$D20&lt;&gt;""),$A20=1,Результаты_Класс!$AJ$6="ДА"),Результаты_Класс!AO25,"")</f>
        <v>ПОВЫШЕННЫЙ</v>
      </c>
    </row>
    <row r="21" spans="1:11" ht="12.75" customHeight="1">
      <c r="A21" s="12">
        <f>IF('СПИСОК КЛАССА'!J26&gt;0,1,0)</f>
        <v>1</v>
      </c>
      <c r="B21" s="368">
        <v>7</v>
      </c>
      <c r="C21" s="388">
        <f>IF(NOT(ISBLANK('СПИСОК КЛАССА'!C26)),'СПИСОК КЛАССА'!C26,"")</f>
        <v>7</v>
      </c>
      <c r="D21" s="370" t="str">
        <f>IF(NOT(ISBLANK('СПИСОК КЛАССА'!D26)),IF($A21=1,'СПИСОК КЛАССА'!D26, "УЧЕНИК НЕ ВЫПОЛНЯЛ РАБОТУ"),"")</f>
        <v>ДЕМИДОВ ИВАН</v>
      </c>
      <c r="E21" s="362">
        <f>IF(AND(OR($C21&lt;&gt;"",$D21&lt;&gt;""),$A21=1,Результаты_Класс!$AJ$6="ДА"),Результаты_Класс!AJ26*100,"")</f>
        <v>32</v>
      </c>
      <c r="F21" s="371">
        <f>IF(AND(OR($C21&lt;&gt;"",$D21&lt;&gt;""),$A21=1,Результаты_Класс!$AJ$6="ДА"),Результаты_Класс!AL26,"")</f>
        <v>54.54545454545454</v>
      </c>
      <c r="G21" s="386">
        <f>IF(AND(OR($C21&lt;&gt;"",$D21&lt;&gt;""),$A21=1,Результаты_Класс!$AJ$6="ДА"),$G$14-F21,"")</f>
        <v>45.45454545454546</v>
      </c>
      <c r="H21" s="371">
        <f>IF(AND(OR($C21&lt;&gt;"",$D21&lt;&gt;""),$A21=1,Результаты_Класс!$AJ$6="ДА"),Результаты_Класс!AN26,"")</f>
        <v>14.285714285714285</v>
      </c>
      <c r="I21" s="364">
        <f>IF(AND(OR($C21&lt;&gt;"",$D21&lt;&gt;""),$A21=1,Результаты_Класс!$AJ$6="ДА"),$I$14-H21,"")</f>
        <v>85.714285714285722</v>
      </c>
      <c r="J21" s="6">
        <v>100</v>
      </c>
      <c r="K21" s="384" t="str">
        <f>IF(AND(OR($C21&lt;&gt;"",$D21&lt;&gt;""),$A21=1,Результаты_Класс!$AJ$6="ДА"),Результаты_Класс!AO26,"")</f>
        <v>НИЗКИЙ</v>
      </c>
    </row>
    <row r="22" spans="1:11" ht="12.75" customHeight="1">
      <c r="A22" s="12">
        <f>IF('СПИСОК КЛАССА'!J27&gt;0,1,0)</f>
        <v>1</v>
      </c>
      <c r="B22" s="368">
        <v>8</v>
      </c>
      <c r="C22" s="388">
        <f>IF(NOT(ISBLANK('СПИСОК КЛАССА'!C27)),'СПИСОК КЛАССА'!C27,"")</f>
        <v>8</v>
      </c>
      <c r="D22" s="370" t="str">
        <f>IF(NOT(ISBLANK('СПИСОК КЛАССА'!D27)),IF($A22=1,'СПИСОК КЛАССА'!D27, "УЧЕНИК НЕ ВЫПОЛНЯЛ РАБОТУ"),"")</f>
        <v>ДМИТРИЕВА АРИНА</v>
      </c>
      <c r="E22" s="362">
        <f>IF(AND(OR($C22&lt;&gt;"",$D22&lt;&gt;""),$A22=1,Результаты_Класс!$AJ$6="ДА"),Результаты_Класс!AJ27*100,"")</f>
        <v>76</v>
      </c>
      <c r="F22" s="371">
        <f>IF(AND(OR($C22&lt;&gt;"",$D22&lt;&gt;""),$A22=1,Результаты_Класс!$AJ$6="ДА"),Результаты_Класс!AL27,"")</f>
        <v>72.727272727272734</v>
      </c>
      <c r="G22" s="386">
        <f>IF(AND(OR($C22&lt;&gt;"",$D22&lt;&gt;""),$A22=1,Результаты_Класс!$AJ$6="ДА"),$G$14-F22,"")</f>
        <v>27.272727272727266</v>
      </c>
      <c r="H22" s="371">
        <f>IF(AND(OR($C22&lt;&gt;"",$D22&lt;&gt;""),$A22=1,Результаты_Класс!$AJ$6="ДА"),Результаты_Класс!AN27,"")</f>
        <v>78.571428571428569</v>
      </c>
      <c r="I22" s="364">
        <f>IF(AND(OR($C22&lt;&gt;"",$D22&lt;&gt;""),$A22=1,Результаты_Класс!$AJ$6="ДА"),$I$14-H22,"")</f>
        <v>21.428571428571431</v>
      </c>
      <c r="J22" s="6">
        <v>100</v>
      </c>
      <c r="K22" s="384" t="str">
        <f>IF(AND(OR($C22&lt;&gt;"",$D22&lt;&gt;""),$A22=1,Результаты_Класс!$AJ$6="ДА"),Результаты_Класс!AO27,"")</f>
        <v>ПОВЫШЕННЫЙ</v>
      </c>
    </row>
    <row r="23" spans="1:11" ht="12.75" customHeight="1">
      <c r="A23" s="12">
        <f>IF('СПИСОК КЛАССА'!J28&gt;0,1,0)</f>
        <v>1</v>
      </c>
      <c r="B23" s="368">
        <v>9</v>
      </c>
      <c r="C23" s="388">
        <f>IF(NOT(ISBLANK('СПИСОК КЛАССА'!C28)),'СПИСОК КЛАССА'!C28,"")</f>
        <v>9</v>
      </c>
      <c r="D23" s="370" t="str">
        <f>IF(NOT(ISBLANK('СПИСОК КЛАССА'!D28)),IF($A23=1,'СПИСОК КЛАССА'!D28, "УЧЕНИК НЕ ВЫПОЛНЯЛ РАБОТУ"),"")</f>
        <v>ЖУК ВЛАДИМИР</v>
      </c>
      <c r="E23" s="362">
        <f>IF(AND(OR($C23&lt;&gt;"",$D23&lt;&gt;""),$A23=1,Результаты_Класс!$AJ$6="ДА"),Результаты_Класс!AJ28*100,"")</f>
        <v>88</v>
      </c>
      <c r="F23" s="371">
        <f>IF(AND(OR($C23&lt;&gt;"",$D23&lt;&gt;""),$A23=1,Результаты_Класс!$AJ$6="ДА"),Результаты_Класс!AL28,"")</f>
        <v>81.818181818181827</v>
      </c>
      <c r="G23" s="386">
        <f>IF(AND(OR($C23&lt;&gt;"",$D23&lt;&gt;""),$A23=1,Результаты_Класс!$AJ$6="ДА"),$G$14-F23,"")</f>
        <v>18.181818181818173</v>
      </c>
      <c r="H23" s="371">
        <f>IF(AND(OR($C23&lt;&gt;"",$D23&lt;&gt;""),$A23=1,Результаты_Класс!$AJ$6="ДА"),Результаты_Класс!AN28,"")</f>
        <v>92.857142857142861</v>
      </c>
      <c r="I23" s="364">
        <f>IF(AND(OR($C23&lt;&gt;"",$D23&lt;&gt;""),$A23=1,Результаты_Класс!$AJ$6="ДА"),$I$14-H23,"")</f>
        <v>7.1428571428571388</v>
      </c>
      <c r="J23" s="6">
        <v>100</v>
      </c>
      <c r="K23" s="384" t="str">
        <f>IF(AND(OR($C23&lt;&gt;"",$D23&lt;&gt;""),$A23=1,Результаты_Класс!$AJ$6="ДА"),Результаты_Класс!AO28,"")</f>
        <v>ПОВЫШЕННЫЙ</v>
      </c>
    </row>
    <row r="24" spans="1:11" ht="12.75" customHeight="1">
      <c r="A24" s="12">
        <f>IF('СПИСОК КЛАССА'!J29&gt;0,1,0)</f>
        <v>1</v>
      </c>
      <c r="B24" s="368">
        <v>10</v>
      </c>
      <c r="C24" s="388">
        <f>IF(NOT(ISBLANK('СПИСОК КЛАССА'!C29)),'СПИСОК КЛАССА'!C29,"")</f>
        <v>10</v>
      </c>
      <c r="D24" s="370" t="str">
        <f>IF(NOT(ISBLANK('СПИСОК КЛАССА'!D29)),IF($A24=1,'СПИСОК КЛАССА'!D29, "УЧЕНИК НЕ ВЫПОЛНЯЛ РАБОТУ"),"")</f>
        <v>ЗАЛАЗНЫЙ РОМАН</v>
      </c>
      <c r="E24" s="362">
        <f>IF(AND(OR($C24&lt;&gt;"",$D24&lt;&gt;""),$A24=1,Результаты_Класс!$AJ$6="ДА"),Результаты_Класс!AJ29*100,"")</f>
        <v>92</v>
      </c>
      <c r="F24" s="371">
        <f>IF(AND(OR($C24&lt;&gt;"",$D24&lt;&gt;""),$A24=1,Результаты_Класс!$AJ$6="ДА"),Результаты_Класс!AL29,"")</f>
        <v>100</v>
      </c>
      <c r="G24" s="386">
        <f>IF(AND(OR($C24&lt;&gt;"",$D24&lt;&gt;""),$A24=1,Результаты_Класс!$AJ$6="ДА"),$G$14-F24,"")</f>
        <v>0</v>
      </c>
      <c r="H24" s="371">
        <f>IF(AND(OR($C24&lt;&gt;"",$D24&lt;&gt;""),$A24=1,Результаты_Класс!$AJ$6="ДА"),Результаты_Класс!AN29,"")</f>
        <v>85.714285714285708</v>
      </c>
      <c r="I24" s="364">
        <f>IF(AND(OR($C24&lt;&gt;"",$D24&lt;&gt;""),$A24=1,Результаты_Класс!$AJ$6="ДА"),$I$14-H24,"")</f>
        <v>14.285714285714292</v>
      </c>
      <c r="J24" s="6">
        <v>100</v>
      </c>
      <c r="K24" s="384" t="str">
        <f>IF(AND(OR($C24&lt;&gt;"",$D24&lt;&gt;""),$A24=1,Результаты_Класс!$AJ$6="ДА"),Результаты_Класс!AO29,"")</f>
        <v>ВЫСОКИЙ</v>
      </c>
    </row>
    <row r="25" spans="1:11" ht="12.75" customHeight="1">
      <c r="A25" s="12">
        <f>IF('СПИСОК КЛАССА'!J30&gt;0,1,0)</f>
        <v>1</v>
      </c>
      <c r="B25" s="368">
        <v>11</v>
      </c>
      <c r="C25" s="388">
        <f>IF(NOT(ISBLANK('СПИСОК КЛАССА'!C30)),'СПИСОК КЛАССА'!C30,"")</f>
        <v>11</v>
      </c>
      <c r="D25" s="370" t="str">
        <f>IF(NOT(ISBLANK('СПИСОК КЛАССА'!D30)),IF($A25=1,'СПИСОК КЛАССА'!D30, "УЧЕНИК НЕ ВЫПОЛНЯЛ РАБОТУ"),"")</f>
        <v>ЗВИАДАДЗЕ ЕКАТЕРИНА</v>
      </c>
      <c r="E25" s="362">
        <f>IF(AND(OR($C25&lt;&gt;"",$D25&lt;&gt;""),$A25=1,Результаты_Класс!$AJ$6="ДА"),Результаты_Класс!AJ30*100,"")</f>
        <v>72</v>
      </c>
      <c r="F25" s="371">
        <f>IF(AND(OR($C25&lt;&gt;"",$D25&lt;&gt;""),$A25=1,Результаты_Класс!$AJ$6="ДА"),Результаты_Класс!AL30,"")</f>
        <v>54.54545454545454</v>
      </c>
      <c r="G25" s="386">
        <f>IF(AND(OR($C25&lt;&gt;"",$D25&lt;&gt;""),$A25=1,Результаты_Класс!$AJ$6="ДА"),$G$14-F25,"")</f>
        <v>45.45454545454546</v>
      </c>
      <c r="H25" s="371">
        <f>IF(AND(OR($C25&lt;&gt;"",$D25&lt;&gt;""),$A25=1,Результаты_Класс!$AJ$6="ДА"),Результаты_Класс!AN30,"")</f>
        <v>85.714285714285708</v>
      </c>
      <c r="I25" s="364">
        <f>IF(AND(OR($C25&lt;&gt;"",$D25&lt;&gt;""),$A25=1,Результаты_Класс!$AJ$6="ДА"),$I$14-H25,"")</f>
        <v>14.285714285714292</v>
      </c>
      <c r="J25" s="6">
        <v>100</v>
      </c>
      <c r="K25" s="384" t="str">
        <f>IF(AND(OR($C25&lt;&gt;"",$D25&lt;&gt;""),$A25=1,Результаты_Класс!$AJ$6="ДА"),Результаты_Класс!AO30,"")</f>
        <v>БАЗОВЫЙ</v>
      </c>
    </row>
    <row r="26" spans="1:11" ht="12.75" customHeight="1">
      <c r="A26" s="12">
        <f>IF('СПИСОК КЛАССА'!J31&gt;0,1,0)</f>
        <v>1</v>
      </c>
      <c r="B26" s="368">
        <v>12</v>
      </c>
      <c r="C26" s="388">
        <f>IF(NOT(ISBLANK('СПИСОК КЛАССА'!C31)),'СПИСОК КЛАССА'!C31,"")</f>
        <v>12</v>
      </c>
      <c r="D26" s="370" t="str">
        <f>IF(NOT(ISBLANK('СПИСОК КЛАССА'!D31)),IF($A26=1,'СПИСОК КЛАССА'!D31, "УЧЕНИК НЕ ВЫПОЛНЯЛ РАБОТУ"),"")</f>
        <v>ИГНАТЬЕВ ЕВГЕНИЙ</v>
      </c>
      <c r="E26" s="362">
        <f>IF(AND(OR($C26&lt;&gt;"",$D26&lt;&gt;""),$A26=1,Результаты_Класс!$AJ$6="ДА"),Результаты_Класс!AJ31*100,"")</f>
        <v>56.000000000000007</v>
      </c>
      <c r="F26" s="371">
        <f>IF(AND(OR($C26&lt;&gt;"",$D26&lt;&gt;""),$A26=1,Результаты_Класс!$AJ$6="ДА"),Результаты_Класс!AL31,"")</f>
        <v>54.54545454545454</v>
      </c>
      <c r="G26" s="386">
        <f>IF(AND(OR($C26&lt;&gt;"",$D26&lt;&gt;""),$A26=1,Результаты_Класс!$AJ$6="ДА"),$G$14-F26,"")</f>
        <v>45.45454545454546</v>
      </c>
      <c r="H26" s="371">
        <f>IF(AND(OR($C26&lt;&gt;"",$D26&lt;&gt;""),$A26=1,Результаты_Класс!$AJ$6="ДА"),Результаты_Класс!AN31,"")</f>
        <v>57.142857142857139</v>
      </c>
      <c r="I26" s="364">
        <f>IF(AND(OR($C26&lt;&gt;"",$D26&lt;&gt;""),$A26=1,Результаты_Класс!$AJ$6="ДА"),$I$14-H26,"")</f>
        <v>42.857142857142861</v>
      </c>
      <c r="J26" s="6">
        <v>100</v>
      </c>
      <c r="K26" s="384" t="str">
        <f>IF(AND(OR($C26&lt;&gt;"",$D26&lt;&gt;""),$A26=1,Результаты_Класс!$AJ$6="ДА"),Результаты_Класс!AO31,"")</f>
        <v>БАЗОВЫЙ</v>
      </c>
    </row>
    <row r="27" spans="1:11" ht="12.75" customHeight="1">
      <c r="A27" s="12">
        <f>IF('СПИСОК КЛАССА'!J32&gt;0,1,0)</f>
        <v>1</v>
      </c>
      <c r="B27" s="368">
        <v>13</v>
      </c>
      <c r="C27" s="388">
        <f>IF(NOT(ISBLANK('СПИСОК КЛАССА'!C32)),'СПИСОК КЛАССА'!C32,"")</f>
        <v>13</v>
      </c>
      <c r="D27" s="370" t="str">
        <f>IF(NOT(ISBLANK('СПИСОК КЛАССА'!D32)),IF($A27=1,'СПИСОК КЛАССА'!D32, "УЧЕНИК НЕ ВЫПОЛНЯЛ РАБОТУ"),"")</f>
        <v>КАНТЕМИРОВА ПОЛИНА</v>
      </c>
      <c r="E27" s="362">
        <f>IF(AND(OR($C27&lt;&gt;"",$D27&lt;&gt;""),$A27=1,Результаты_Класс!$AJ$6="ДА"),Результаты_Класс!AJ32*100,"")</f>
        <v>36</v>
      </c>
      <c r="F27" s="371">
        <f>IF(AND(OR($C27&lt;&gt;"",$D27&lt;&gt;""),$A27=1,Результаты_Класс!$AJ$6="ДА"),Результаты_Класс!AL32,"")</f>
        <v>45.454545454545453</v>
      </c>
      <c r="G27" s="386">
        <f>IF(AND(OR($C27&lt;&gt;"",$D27&lt;&gt;""),$A27=1,Результаты_Класс!$AJ$6="ДА"),$G$14-F27,"")</f>
        <v>54.545454545454547</v>
      </c>
      <c r="H27" s="371">
        <f>IF(AND(OR($C27&lt;&gt;"",$D27&lt;&gt;""),$A27=1,Результаты_Класс!$AJ$6="ДА"),Результаты_Класс!AN32,"")</f>
        <v>28.571428571428569</v>
      </c>
      <c r="I27" s="364">
        <f>IF(AND(OR($C27&lt;&gt;"",$D27&lt;&gt;""),$A27=1,Результаты_Класс!$AJ$6="ДА"),$I$14-H27,"")</f>
        <v>71.428571428571431</v>
      </c>
      <c r="J27" s="6">
        <v>100</v>
      </c>
      <c r="K27" s="384" t="str">
        <f>IF(AND(OR($C27&lt;&gt;"",$D27&lt;&gt;""),$A27=1,Результаты_Класс!$AJ$6="ДА"),Результаты_Класс!AO32,"")</f>
        <v>НИЗКИЙ</v>
      </c>
    </row>
    <row r="28" spans="1:11" ht="12.75" customHeight="1">
      <c r="A28" s="12">
        <f>IF('СПИСОК КЛАССА'!J33&gt;0,1,0)</f>
        <v>1</v>
      </c>
      <c r="B28" s="368">
        <v>14</v>
      </c>
      <c r="C28" s="388">
        <f>IF(NOT(ISBLANK('СПИСОК КЛАССА'!C33)),'СПИСОК КЛАССА'!C33,"")</f>
        <v>14</v>
      </c>
      <c r="D28" s="370" t="str">
        <f>IF(NOT(ISBLANK('СПИСОК КЛАССА'!D33)),IF($A28=1,'СПИСОК КЛАССА'!D33, "УЧЕНИК НЕ ВЫПОЛНЯЛ РАБОТУ"),"")</f>
        <v>КАРПОВА АНАСТАСИЯ</v>
      </c>
      <c r="E28" s="362">
        <f>IF(AND(OR($C28&lt;&gt;"",$D28&lt;&gt;""),$A28=1,Результаты_Класс!$AJ$6="ДА"),Результаты_Класс!AJ33*100,"")</f>
        <v>52</v>
      </c>
      <c r="F28" s="371">
        <f>IF(AND(OR($C28&lt;&gt;"",$D28&lt;&gt;""),$A28=1,Результаты_Класс!$AJ$6="ДА"),Результаты_Класс!AL33,"")</f>
        <v>54.54545454545454</v>
      </c>
      <c r="G28" s="386">
        <f>IF(AND(OR($C28&lt;&gt;"",$D28&lt;&gt;""),$A28=1,Результаты_Класс!$AJ$6="ДА"),$G$14-F28,"")</f>
        <v>45.45454545454546</v>
      </c>
      <c r="H28" s="371">
        <f>IF(AND(OR($C28&lt;&gt;"",$D28&lt;&gt;""),$A28=1,Результаты_Класс!$AJ$6="ДА"),Результаты_Класс!AN33,"")</f>
        <v>50</v>
      </c>
      <c r="I28" s="364">
        <f>IF(AND(OR($C28&lt;&gt;"",$D28&lt;&gt;""),$A28=1,Результаты_Класс!$AJ$6="ДА"),$I$14-H28,"")</f>
        <v>50</v>
      </c>
      <c r="J28" s="6">
        <v>100</v>
      </c>
      <c r="K28" s="384" t="str">
        <f>IF(AND(OR($C28&lt;&gt;"",$D28&lt;&gt;""),$A28=1,Результаты_Класс!$AJ$6="ДА"),Результаты_Класс!AO33,"")</f>
        <v>БАЗОВЫЙ</v>
      </c>
    </row>
    <row r="29" spans="1:11" ht="12.75" customHeight="1">
      <c r="A29" s="12">
        <f>IF('СПИСОК КЛАССА'!J34&gt;0,1,0)</f>
        <v>1</v>
      </c>
      <c r="B29" s="368">
        <v>15</v>
      </c>
      <c r="C29" s="388">
        <f>IF(NOT(ISBLANK('СПИСОК КЛАССА'!C34)),'СПИСОК КЛАССА'!C34,"")</f>
        <v>15</v>
      </c>
      <c r="D29" s="370" t="str">
        <f>IF(NOT(ISBLANK('СПИСОК КЛАССА'!D34)),IF($A29=1,'СПИСОК КЛАССА'!D34, "УЧЕНИК НЕ ВЫПОЛНЯЛ РАБОТУ"),"")</f>
        <v>КИРЕЕВА КРИСТИНА</v>
      </c>
      <c r="E29" s="362">
        <f>IF(AND(OR($C29&lt;&gt;"",$D29&lt;&gt;""),$A29=1,Результаты_Класс!$AJ$6="ДА"),Результаты_Класс!AJ34*100,"")</f>
        <v>100</v>
      </c>
      <c r="F29" s="371">
        <f>IF(AND(OR($C29&lt;&gt;"",$D29&lt;&gt;""),$A29=1,Результаты_Класс!$AJ$6="ДА"),Результаты_Класс!AL34,"")</f>
        <v>100</v>
      </c>
      <c r="G29" s="386">
        <f>IF(AND(OR($C29&lt;&gt;"",$D29&lt;&gt;""),$A29=1,Результаты_Класс!$AJ$6="ДА"),$G$14-F29,"")</f>
        <v>0</v>
      </c>
      <c r="H29" s="371">
        <f>IF(AND(OR($C29&lt;&gt;"",$D29&lt;&gt;""),$A29=1,Результаты_Класс!$AJ$6="ДА"),Результаты_Класс!AN34,"")</f>
        <v>100</v>
      </c>
      <c r="I29" s="364">
        <f>IF(AND(OR($C29&lt;&gt;"",$D29&lt;&gt;""),$A29=1,Результаты_Класс!$AJ$6="ДА"),$I$14-H29,"")</f>
        <v>0</v>
      </c>
      <c r="J29" s="6">
        <v>100</v>
      </c>
      <c r="K29" s="384" t="str">
        <f>IF(AND(OR($C29&lt;&gt;"",$D29&lt;&gt;""),$A29=1,Результаты_Класс!$AJ$6="ДА"),Результаты_Класс!AO34,"")</f>
        <v>ВЫСОКИЙ</v>
      </c>
    </row>
    <row r="30" spans="1:11" ht="12.75" customHeight="1">
      <c r="A30" s="12">
        <f>IF('СПИСОК КЛАССА'!J35&gt;0,1,0)</f>
        <v>1</v>
      </c>
      <c r="B30" s="368">
        <v>16</v>
      </c>
      <c r="C30" s="388">
        <f>IF(NOT(ISBLANK('СПИСОК КЛАССА'!C35)),'СПИСОК КЛАССА'!C35,"")</f>
        <v>16</v>
      </c>
      <c r="D30" s="370" t="str">
        <f>IF(NOT(ISBLANK('СПИСОК КЛАССА'!D35)),IF($A30=1,'СПИСОК КЛАССА'!D35, "УЧЕНИК НЕ ВЫПОЛНЯЛ РАБОТУ"),"")</f>
        <v>КОРЯКИН СЕМЕН</v>
      </c>
      <c r="E30" s="362">
        <f>IF(AND(OR($C30&lt;&gt;"",$D30&lt;&gt;""),$A30=1,Результаты_Класс!$AJ$6="ДА"),Результаты_Класс!AJ35*100,"")</f>
        <v>32</v>
      </c>
      <c r="F30" s="371">
        <f>IF(AND(OR($C30&lt;&gt;"",$D30&lt;&gt;""),$A30=1,Результаты_Класс!$AJ$6="ДА"),Результаты_Класс!AL35,"")</f>
        <v>45.454545454545453</v>
      </c>
      <c r="G30" s="386">
        <f>IF(AND(OR($C30&lt;&gt;"",$D30&lt;&gt;""),$A30=1,Результаты_Класс!$AJ$6="ДА"),$G$14-F30,"")</f>
        <v>54.545454545454547</v>
      </c>
      <c r="H30" s="371">
        <f>IF(AND(OR($C30&lt;&gt;"",$D30&lt;&gt;""),$A30=1,Результаты_Класс!$AJ$6="ДА"),Результаты_Класс!AN35,"")</f>
        <v>21.428571428571427</v>
      </c>
      <c r="I30" s="364">
        <f>IF(AND(OR($C30&lt;&gt;"",$D30&lt;&gt;""),$A30=1,Результаты_Класс!$AJ$6="ДА"),$I$14-H30,"")</f>
        <v>78.571428571428569</v>
      </c>
      <c r="J30" s="6">
        <v>100</v>
      </c>
      <c r="K30" s="384" t="str">
        <f>IF(AND(OR($C30&lt;&gt;"",$D30&lt;&gt;""),$A30=1,Результаты_Класс!$AJ$6="ДА"),Результаты_Класс!AO35,"")</f>
        <v>НИЗКИЙ</v>
      </c>
    </row>
    <row r="31" spans="1:11" ht="12.75" customHeight="1">
      <c r="A31" s="12">
        <f>IF('СПИСОК КЛАССА'!J36&gt;0,1,0)</f>
        <v>1</v>
      </c>
      <c r="B31" s="368">
        <v>17</v>
      </c>
      <c r="C31" s="388">
        <f>IF(NOT(ISBLANK('СПИСОК КЛАССА'!C36)),'СПИСОК КЛАССА'!C36,"")</f>
        <v>17</v>
      </c>
      <c r="D31" s="370" t="str">
        <f>IF(NOT(ISBLANK('СПИСОК КЛАССА'!D36)),IF($A31=1,'СПИСОК КЛАССА'!D36, "УЧЕНИК НЕ ВЫПОЛНЯЛ РАБОТУ"),"")</f>
        <v>КУПРИЯНОВА ПОЛИНА</v>
      </c>
      <c r="E31" s="362">
        <f>IF(AND(OR($C31&lt;&gt;"",$D31&lt;&gt;""),$A31=1,Результаты_Класс!$AJ$6="ДА"),Результаты_Класс!AJ36*100,"")</f>
        <v>88</v>
      </c>
      <c r="F31" s="371">
        <f>IF(AND(OR($C31&lt;&gt;"",$D31&lt;&gt;""),$A31=1,Результаты_Класс!$AJ$6="ДА"),Результаты_Класс!AL36,"")</f>
        <v>81.818181818181827</v>
      </c>
      <c r="G31" s="386">
        <f>IF(AND(OR($C31&lt;&gt;"",$D31&lt;&gt;""),$A31=1,Результаты_Класс!$AJ$6="ДА"),$G$14-F31,"")</f>
        <v>18.181818181818173</v>
      </c>
      <c r="H31" s="371">
        <f>IF(AND(OR($C31&lt;&gt;"",$D31&lt;&gt;""),$A31=1,Результаты_Класс!$AJ$6="ДА"),Результаты_Класс!AN36,"")</f>
        <v>92.857142857142861</v>
      </c>
      <c r="I31" s="364">
        <f>IF(AND(OR($C31&lt;&gt;"",$D31&lt;&gt;""),$A31=1,Результаты_Класс!$AJ$6="ДА"),$I$14-H31,"")</f>
        <v>7.1428571428571388</v>
      </c>
      <c r="J31" s="6">
        <v>100</v>
      </c>
      <c r="K31" s="384" t="str">
        <f>IF(AND(OR($C31&lt;&gt;"",$D31&lt;&gt;""),$A31=1,Результаты_Класс!$AJ$6="ДА"),Результаты_Класс!AO36,"")</f>
        <v>ПОВЫШЕННЫЙ</v>
      </c>
    </row>
    <row r="32" spans="1:11" ht="12.75" customHeight="1">
      <c r="A32" s="12">
        <f>IF('СПИСОК КЛАССА'!J37&gt;0,1,0)</f>
        <v>1</v>
      </c>
      <c r="B32" s="368">
        <v>18</v>
      </c>
      <c r="C32" s="388">
        <f>IF(NOT(ISBLANK('СПИСОК КЛАССА'!C37)),'СПИСОК КЛАССА'!C37,"")</f>
        <v>18</v>
      </c>
      <c r="D32" s="370" t="str">
        <f>IF(NOT(ISBLANK('СПИСОК КЛАССА'!D37)),IF($A32=1,'СПИСОК КЛАССА'!D37, "УЧЕНИК НЕ ВЫПОЛНЯЛ РАБОТУ"),"")</f>
        <v>ЛЕДЕНЕВА ВАЛЕРИЯ</v>
      </c>
      <c r="E32" s="362">
        <f>IF(AND(OR($C32&lt;&gt;"",$D32&lt;&gt;""),$A32=1,Результаты_Класс!$AJ$6="ДА"),Результаты_Класс!AJ37*100,"")</f>
        <v>48</v>
      </c>
      <c r="F32" s="371">
        <f>IF(AND(OR($C32&lt;&gt;"",$D32&lt;&gt;""),$A32=1,Результаты_Класс!$AJ$6="ДА"),Результаты_Класс!AL37,"")</f>
        <v>54.54545454545454</v>
      </c>
      <c r="G32" s="386">
        <f>IF(AND(OR($C32&lt;&gt;"",$D32&lt;&gt;""),$A32=1,Результаты_Класс!$AJ$6="ДА"),$G$14-F32,"")</f>
        <v>45.45454545454546</v>
      </c>
      <c r="H32" s="371">
        <f>IF(AND(OR($C32&lt;&gt;"",$D32&lt;&gt;""),$A32=1,Результаты_Класс!$AJ$6="ДА"),Результаты_Класс!AN37,"")</f>
        <v>42.857142857142854</v>
      </c>
      <c r="I32" s="364">
        <f>IF(AND(OR($C32&lt;&gt;"",$D32&lt;&gt;""),$A32=1,Результаты_Класс!$AJ$6="ДА"),$I$14-H32,"")</f>
        <v>57.142857142857146</v>
      </c>
      <c r="J32" s="6">
        <v>100</v>
      </c>
      <c r="K32" s="384" t="str">
        <f>IF(AND(OR($C32&lt;&gt;"",$D32&lt;&gt;""),$A32=1,Результаты_Класс!$AJ$6="ДА"),Результаты_Класс!AO37,"")</f>
        <v>БАЗОВЫЙ</v>
      </c>
    </row>
    <row r="33" spans="1:11" ht="12.75" customHeight="1">
      <c r="A33" s="12">
        <f>IF('СПИСОК КЛАССА'!J38&gt;0,1,0)</f>
        <v>1</v>
      </c>
      <c r="B33" s="368">
        <v>19</v>
      </c>
      <c r="C33" s="388">
        <f>IF(NOT(ISBLANK('СПИСОК КЛАССА'!C38)),'СПИСОК КЛАССА'!C38,"")</f>
        <v>19</v>
      </c>
      <c r="D33" s="370" t="str">
        <f>IF(NOT(ISBLANK('СПИСОК КЛАССА'!D38)),IF($A33=1,'СПИСОК КЛАССА'!D38, "УЧЕНИК НЕ ВЫПОЛНЯЛ РАБОТУ"),"")</f>
        <v>МАКАЙДА АЛЛА</v>
      </c>
      <c r="E33" s="362">
        <f>IF(AND(OR($C33&lt;&gt;"",$D33&lt;&gt;""),$A33=1,Результаты_Класс!$AJ$6="ДА"),Результаты_Класс!AJ38*100,"")</f>
        <v>80</v>
      </c>
      <c r="F33" s="371">
        <f>IF(AND(OR($C33&lt;&gt;"",$D33&lt;&gt;""),$A33=1,Результаты_Класс!$AJ$6="ДА"),Результаты_Класс!AL38,"")</f>
        <v>63.636363636363633</v>
      </c>
      <c r="G33" s="386">
        <f>IF(AND(OR($C33&lt;&gt;"",$D33&lt;&gt;""),$A33=1,Результаты_Класс!$AJ$6="ДА"),$G$14-F33,"")</f>
        <v>36.363636363636367</v>
      </c>
      <c r="H33" s="371">
        <f>IF(AND(OR($C33&lt;&gt;"",$D33&lt;&gt;""),$A33=1,Результаты_Класс!$AJ$6="ДА"),Результаты_Класс!AN38,"")</f>
        <v>92.857142857142861</v>
      </c>
      <c r="I33" s="364">
        <f>IF(AND(OR($C33&lt;&gt;"",$D33&lt;&gt;""),$A33=1,Результаты_Класс!$AJ$6="ДА"),$I$14-H33,"")</f>
        <v>7.1428571428571388</v>
      </c>
      <c r="J33" s="6">
        <v>100</v>
      </c>
      <c r="K33" s="384" t="str">
        <f>IF(AND(OR($C33&lt;&gt;"",$D33&lt;&gt;""),$A33=1,Результаты_Класс!$AJ$6="ДА"),Результаты_Класс!AO38,"")</f>
        <v>ПОВЫШЕННЫЙ</v>
      </c>
    </row>
    <row r="34" spans="1:11" ht="12.75" customHeight="1">
      <c r="A34" s="12">
        <f>IF('СПИСОК КЛАССА'!J39&gt;0,1,0)</f>
        <v>1</v>
      </c>
      <c r="B34" s="368">
        <v>20</v>
      </c>
      <c r="C34" s="388">
        <f>IF(NOT(ISBLANK('СПИСОК КЛАССА'!C39)),'СПИСОК КЛАССА'!C39,"")</f>
        <v>20</v>
      </c>
      <c r="D34" s="370" t="str">
        <f>IF(NOT(ISBLANK('СПИСОК КЛАССА'!D39)),IF($A34=1,'СПИСОК КЛАССА'!D39, "УЧЕНИК НЕ ВЫПОЛНЯЛ РАБОТУ"),"")</f>
        <v>МЕДВЕДЕВ СЕРГЕЙ</v>
      </c>
      <c r="E34" s="362">
        <f>IF(AND(OR($C34&lt;&gt;"",$D34&lt;&gt;""),$A34=1,Результаты_Класс!$AJ$6="ДА"),Результаты_Класс!AJ39*100,"")</f>
        <v>40</v>
      </c>
      <c r="F34" s="371">
        <f>IF(AND(OR($C34&lt;&gt;"",$D34&lt;&gt;""),$A34=1,Результаты_Класс!$AJ$6="ДА"),Результаты_Класс!AL39,"")</f>
        <v>54.54545454545454</v>
      </c>
      <c r="G34" s="386">
        <f>IF(AND(OR($C34&lt;&gt;"",$D34&lt;&gt;""),$A34=1,Результаты_Класс!$AJ$6="ДА"),$G$14-F34,"")</f>
        <v>45.45454545454546</v>
      </c>
      <c r="H34" s="371">
        <f>IF(AND(OR($C34&lt;&gt;"",$D34&lt;&gt;""),$A34=1,Результаты_Класс!$AJ$6="ДА"),Результаты_Класс!AN39,"")</f>
        <v>28.571428571428569</v>
      </c>
      <c r="I34" s="364">
        <f>IF(AND(OR($C34&lt;&gt;"",$D34&lt;&gt;""),$A34=1,Результаты_Класс!$AJ$6="ДА"),$I$14-H34,"")</f>
        <v>71.428571428571431</v>
      </c>
      <c r="J34" s="6">
        <v>100</v>
      </c>
      <c r="K34" s="384" t="str">
        <f>IF(AND(OR($C34&lt;&gt;"",$D34&lt;&gt;""),$A34=1,Результаты_Класс!$AJ$6="ДА"),Результаты_Класс!AO39,"")</f>
        <v>БАЗОВЫЙ</v>
      </c>
    </row>
    <row r="35" spans="1:11" ht="12.75" customHeight="1">
      <c r="A35" s="12">
        <f>IF('СПИСОК КЛАССА'!J40&gt;0,1,0)</f>
        <v>1</v>
      </c>
      <c r="B35" s="368">
        <v>21</v>
      </c>
      <c r="C35" s="388">
        <f>IF(NOT(ISBLANK('СПИСОК КЛАССА'!C40)),'СПИСОК КЛАССА'!C40,"")</f>
        <v>21</v>
      </c>
      <c r="D35" s="370" t="str">
        <f>IF(NOT(ISBLANK('СПИСОК КЛАССА'!D40)),IF($A35=1,'СПИСОК КЛАССА'!D40, "УЧЕНИК НЕ ВЫПОЛНЯЛ РАБОТУ"),"")</f>
        <v>ПИМЕНОВ АРТЕМ</v>
      </c>
      <c r="E35" s="362">
        <f>IF(AND(OR($C35&lt;&gt;"",$D35&lt;&gt;""),$A35=1,Результаты_Класс!$AJ$6="ДА"),Результаты_Класс!AJ40*100,"")</f>
        <v>76</v>
      </c>
      <c r="F35" s="371">
        <f>IF(AND(OR($C35&lt;&gt;"",$D35&lt;&gt;""),$A35=1,Результаты_Класс!$AJ$6="ДА"),Результаты_Класс!AL40,"")</f>
        <v>72.727272727272734</v>
      </c>
      <c r="G35" s="386">
        <f>IF(AND(OR($C35&lt;&gt;"",$D35&lt;&gt;""),$A35=1,Результаты_Класс!$AJ$6="ДА"),$G$14-F35,"")</f>
        <v>27.272727272727266</v>
      </c>
      <c r="H35" s="371">
        <f>IF(AND(OR($C35&lt;&gt;"",$D35&lt;&gt;""),$A35=1,Результаты_Класс!$AJ$6="ДА"),Результаты_Класс!AN40,"")</f>
        <v>78.571428571428569</v>
      </c>
      <c r="I35" s="364">
        <f>IF(AND(OR($C35&lt;&gt;"",$D35&lt;&gt;""),$A35=1,Результаты_Класс!$AJ$6="ДА"),$I$14-H35,"")</f>
        <v>21.428571428571431</v>
      </c>
      <c r="J35" s="6">
        <v>100</v>
      </c>
      <c r="K35" s="384" t="str">
        <f>IF(AND(OR($C35&lt;&gt;"",$D35&lt;&gt;""),$A35=1,Результаты_Класс!$AJ$6="ДА"),Результаты_Класс!AO40,"")</f>
        <v>ПОВЫШЕННЫЙ</v>
      </c>
    </row>
    <row r="36" spans="1:11" ht="12.75" customHeight="1">
      <c r="A36" s="12">
        <f>IF('СПИСОК КЛАССА'!J41&gt;0,1,0)</f>
        <v>1</v>
      </c>
      <c r="B36" s="368">
        <v>22</v>
      </c>
      <c r="C36" s="388">
        <f>IF(NOT(ISBLANK('СПИСОК КЛАССА'!C41)),'СПИСОК КЛАССА'!C41,"")</f>
        <v>22</v>
      </c>
      <c r="D36" s="370" t="str">
        <f>IF(NOT(ISBLANK('СПИСОК КЛАССА'!D41)),IF($A36=1,'СПИСОК КЛАССА'!D41, "УЧЕНИК НЕ ВЫПОЛНЯЛ РАБОТУ"),"")</f>
        <v>ПОДЛЕДНЕВ АЛЕКСАНДР</v>
      </c>
      <c r="E36" s="362">
        <f>IF(AND(OR($C36&lt;&gt;"",$D36&lt;&gt;""),$A36=1,Результаты_Класс!$AJ$6="ДА"),Результаты_Класс!AJ41*100,"")</f>
        <v>96</v>
      </c>
      <c r="F36" s="371">
        <f>IF(AND(OR($C36&lt;&gt;"",$D36&lt;&gt;""),$A36=1,Результаты_Класс!$AJ$6="ДА"),Результаты_Класс!AL41,"")</f>
        <v>90.909090909090907</v>
      </c>
      <c r="G36" s="386">
        <f>IF(AND(OR($C36&lt;&gt;"",$D36&lt;&gt;""),$A36=1,Результаты_Класс!$AJ$6="ДА"),$G$14-F36,"")</f>
        <v>9.0909090909090935</v>
      </c>
      <c r="H36" s="371">
        <f>IF(AND(OR($C36&lt;&gt;"",$D36&lt;&gt;""),$A36=1,Результаты_Класс!$AJ$6="ДА"),Результаты_Класс!AN41,"")</f>
        <v>100</v>
      </c>
      <c r="I36" s="364">
        <f>IF(AND(OR($C36&lt;&gt;"",$D36&lt;&gt;""),$A36=1,Результаты_Класс!$AJ$6="ДА"),$I$14-H36,"")</f>
        <v>0</v>
      </c>
      <c r="J36" s="6">
        <v>100</v>
      </c>
      <c r="K36" s="384" t="str">
        <f>IF(AND(OR($C36&lt;&gt;"",$D36&lt;&gt;""),$A36=1,Результаты_Класс!$AJ$6="ДА"),Результаты_Класс!AO41,"")</f>
        <v>ВЫСОКИЙ</v>
      </c>
    </row>
    <row r="37" spans="1:11" ht="12.75" customHeight="1">
      <c r="A37" s="12">
        <f>IF('СПИСОК КЛАССА'!J42&gt;0,1,0)</f>
        <v>1</v>
      </c>
      <c r="B37" s="368">
        <v>23</v>
      </c>
      <c r="C37" s="388">
        <f>IF(NOT(ISBLANK('СПИСОК КЛАССА'!C42)),'СПИСОК КЛАССА'!C42,"")</f>
        <v>23</v>
      </c>
      <c r="D37" s="370" t="str">
        <f>IF(NOT(ISBLANK('СПИСОК КЛАССА'!D42)),IF($A37=1,'СПИСОК КЛАССА'!D42, "УЧЕНИК НЕ ВЫПОЛНЯЛ РАБОТУ"),"")</f>
        <v>ПУЧКИНА ДАРЬЯ</v>
      </c>
      <c r="E37" s="362">
        <f>IF(AND(OR($C37&lt;&gt;"",$D37&lt;&gt;""),$A37=1,Результаты_Класс!$AJ$6="ДА"),Результаты_Класс!AJ42*100,"")</f>
        <v>56.000000000000007</v>
      </c>
      <c r="F37" s="371">
        <f>IF(AND(OR($C37&lt;&gt;"",$D37&lt;&gt;""),$A37=1,Результаты_Класс!$AJ$6="ДА"),Результаты_Класс!AL42,"")</f>
        <v>54.54545454545454</v>
      </c>
      <c r="G37" s="386">
        <f>IF(AND(OR($C37&lt;&gt;"",$D37&lt;&gt;""),$A37=1,Результаты_Класс!$AJ$6="ДА"),$G$14-F37,"")</f>
        <v>45.45454545454546</v>
      </c>
      <c r="H37" s="371">
        <f>IF(AND(OR($C37&lt;&gt;"",$D37&lt;&gt;""),$A37=1,Результаты_Класс!$AJ$6="ДА"),Результаты_Класс!AN42,"")</f>
        <v>57.142857142857139</v>
      </c>
      <c r="I37" s="364">
        <f>IF(AND(OR($C37&lt;&gt;"",$D37&lt;&gt;""),$A37=1,Результаты_Класс!$AJ$6="ДА"),$I$14-H37,"")</f>
        <v>42.857142857142861</v>
      </c>
      <c r="J37" s="6">
        <v>100</v>
      </c>
      <c r="K37" s="384" t="str">
        <f>IF(AND(OR($C37&lt;&gt;"",$D37&lt;&gt;""),$A37=1,Результаты_Класс!$AJ$6="ДА"),Результаты_Класс!AO42,"")</f>
        <v>БАЗОВЫЙ</v>
      </c>
    </row>
    <row r="38" spans="1:11" ht="12.75" customHeight="1">
      <c r="A38" s="12">
        <f>IF('СПИСОК КЛАССА'!J43&gt;0,1,0)</f>
        <v>1</v>
      </c>
      <c r="B38" s="368">
        <v>24</v>
      </c>
      <c r="C38" s="388">
        <f>IF(NOT(ISBLANK('СПИСОК КЛАССА'!C43)),'СПИСОК КЛАССА'!C43,"")</f>
        <v>24</v>
      </c>
      <c r="D38" s="370" t="str">
        <f>IF(NOT(ISBLANK('СПИСОК КЛАССА'!D43)),IF($A38=1,'СПИСОК КЛАССА'!D43, "УЧЕНИК НЕ ВЫПОЛНЯЛ РАБОТУ"),"")</f>
        <v>ПЫТЧЕНКО АЛЕКСАНДР</v>
      </c>
      <c r="E38" s="362">
        <f>IF(AND(OR($C38&lt;&gt;"",$D38&lt;&gt;""),$A38=1,Результаты_Класс!$AJ$6="ДА"),Результаты_Класс!AJ43*100,"")</f>
        <v>80</v>
      </c>
      <c r="F38" s="371">
        <f>IF(AND(OR($C38&lt;&gt;"",$D38&lt;&gt;""),$A38=1,Результаты_Класс!$AJ$6="ДА"),Результаты_Класс!AL43,"")</f>
        <v>81.818181818181827</v>
      </c>
      <c r="G38" s="386">
        <f>IF(AND(OR($C38&lt;&gt;"",$D38&lt;&gt;""),$A38=1,Результаты_Класс!$AJ$6="ДА"),$G$14-F38,"")</f>
        <v>18.181818181818173</v>
      </c>
      <c r="H38" s="371">
        <f>IF(AND(OR($C38&lt;&gt;"",$D38&lt;&gt;""),$A38=1,Результаты_Класс!$AJ$6="ДА"),Результаты_Класс!AN43,"")</f>
        <v>78.571428571428569</v>
      </c>
      <c r="I38" s="364">
        <f>IF(AND(OR($C38&lt;&gt;"",$D38&lt;&gt;""),$A38=1,Результаты_Класс!$AJ$6="ДА"),$I$14-H38,"")</f>
        <v>21.428571428571431</v>
      </c>
      <c r="J38" s="6">
        <v>100</v>
      </c>
      <c r="K38" s="384" t="str">
        <f>IF(AND(OR($C38&lt;&gt;"",$D38&lt;&gt;""),$A38=1,Результаты_Класс!$AJ$6="ДА"),Результаты_Класс!AO43,"")</f>
        <v>ПОВЫШЕННЫЙ</v>
      </c>
    </row>
    <row r="39" spans="1:11" ht="12.75" customHeight="1">
      <c r="A39" s="12">
        <f>IF('СПИСОК КЛАССА'!J44&gt;0,1,0)</f>
        <v>1</v>
      </c>
      <c r="B39" s="368">
        <v>25</v>
      </c>
      <c r="C39" s="388">
        <f>IF(NOT(ISBLANK('СПИСОК КЛАССА'!C44)),'СПИСОК КЛАССА'!C44,"")</f>
        <v>25</v>
      </c>
      <c r="D39" s="370" t="str">
        <f>IF(NOT(ISBLANK('СПИСОК КЛАССА'!D44)),IF($A39=1,'СПИСОК КЛАССА'!D44, "УЧЕНИК НЕ ВЫПОЛНЯЛ РАБОТУ"),"")</f>
        <v>РЕПП ВЛАДИСЛАВ</v>
      </c>
      <c r="E39" s="362">
        <f>IF(AND(OR($C39&lt;&gt;"",$D39&lt;&gt;""),$A39=1,Результаты_Класс!$AJ$6="ДА"),Результаты_Класс!AJ44*100,"")</f>
        <v>84</v>
      </c>
      <c r="F39" s="371">
        <f>IF(AND(OR($C39&lt;&gt;"",$D39&lt;&gt;""),$A39=1,Результаты_Класс!$AJ$6="ДА"),Результаты_Класс!AL44,"")</f>
        <v>81.818181818181827</v>
      </c>
      <c r="G39" s="386">
        <f>IF(AND(OR($C39&lt;&gt;"",$D39&lt;&gt;""),$A39=1,Результаты_Класс!$AJ$6="ДА"),$G$14-F39,"")</f>
        <v>18.181818181818173</v>
      </c>
      <c r="H39" s="371">
        <f>IF(AND(OR($C39&lt;&gt;"",$D39&lt;&gt;""),$A39=1,Результаты_Класс!$AJ$6="ДА"),Результаты_Класс!AN44,"")</f>
        <v>85.714285714285708</v>
      </c>
      <c r="I39" s="364">
        <f>IF(AND(OR($C39&lt;&gt;"",$D39&lt;&gt;""),$A39=1,Результаты_Класс!$AJ$6="ДА"),$I$14-H39,"")</f>
        <v>14.285714285714292</v>
      </c>
      <c r="J39" s="6">
        <v>100</v>
      </c>
      <c r="K39" s="384" t="str">
        <f>IF(AND(OR($C39&lt;&gt;"",$D39&lt;&gt;""),$A39=1,Результаты_Класс!$AJ$6="ДА"),Результаты_Класс!AO44,"")</f>
        <v>ПОВЫШЕННЫЙ</v>
      </c>
    </row>
    <row r="40" spans="1:11" ht="12.75" customHeight="1">
      <c r="A40" s="12">
        <f>IF('СПИСОК КЛАССА'!J45&gt;0,1,0)</f>
        <v>1</v>
      </c>
      <c r="B40" s="368">
        <v>26</v>
      </c>
      <c r="C40" s="388">
        <f>IF(NOT(ISBLANK('СПИСОК КЛАССА'!C45)),'СПИСОК КЛАССА'!C45,"")</f>
        <v>26</v>
      </c>
      <c r="D40" s="370" t="str">
        <f>IF(NOT(ISBLANK('СПИСОК КЛАССА'!D45)),IF($A40=1,'СПИСОК КЛАССА'!D45, "УЧЕНИК НЕ ВЫПОЛНЯЛ РАБОТУ"),"")</f>
        <v>РЫБКО МАТВЕЙ</v>
      </c>
      <c r="E40" s="362">
        <f>IF(AND(OR($C40&lt;&gt;"",$D40&lt;&gt;""),$A40=1,Результаты_Класс!$AJ$6="ДА"),Результаты_Класс!AJ45*100,"")</f>
        <v>100</v>
      </c>
      <c r="F40" s="371">
        <f>IF(AND(OR($C40&lt;&gt;"",$D40&lt;&gt;""),$A40=1,Результаты_Класс!$AJ$6="ДА"),Результаты_Класс!AL45,"")</f>
        <v>100</v>
      </c>
      <c r="G40" s="386">
        <f>IF(AND(OR($C40&lt;&gt;"",$D40&lt;&gt;""),$A40=1,Результаты_Класс!$AJ$6="ДА"),$G$14-F40,"")</f>
        <v>0</v>
      </c>
      <c r="H40" s="371">
        <f>IF(AND(OR($C40&lt;&gt;"",$D40&lt;&gt;""),$A40=1,Результаты_Класс!$AJ$6="ДА"),Результаты_Класс!AN45,"")</f>
        <v>100</v>
      </c>
      <c r="I40" s="364">
        <f>IF(AND(OR($C40&lt;&gt;"",$D40&lt;&gt;""),$A40=1,Результаты_Класс!$AJ$6="ДА"),$I$14-H40,"")</f>
        <v>0</v>
      </c>
      <c r="J40" s="6">
        <v>100</v>
      </c>
      <c r="K40" s="384" t="str">
        <f>IF(AND(OR($C40&lt;&gt;"",$D40&lt;&gt;""),$A40=1,Результаты_Класс!$AJ$6="ДА"),Результаты_Класс!AO45,"")</f>
        <v>ВЫСОКИЙ</v>
      </c>
    </row>
    <row r="41" spans="1:11" ht="12.75" customHeight="1">
      <c r="A41" s="12">
        <f>IF('СПИСОК КЛАССА'!J46&gt;0,1,0)</f>
        <v>1</v>
      </c>
      <c r="B41" s="368">
        <v>27</v>
      </c>
      <c r="C41" s="388">
        <f>IF(NOT(ISBLANK('СПИСОК КЛАССА'!C46)),'СПИСОК КЛАССА'!C46,"")</f>
        <v>27</v>
      </c>
      <c r="D41" s="370" t="str">
        <f>IF(NOT(ISBLANK('СПИСОК КЛАССА'!D46)),IF($A41=1,'СПИСОК КЛАССА'!D46, "УЧЕНИК НЕ ВЫПОЛНЯЛ РАБОТУ"),"")</f>
        <v>САЯПИНА АЛИСА</v>
      </c>
      <c r="E41" s="362">
        <f>IF(AND(OR($C41&lt;&gt;"",$D41&lt;&gt;""),$A41=1,Результаты_Класс!$AJ$6="ДА"),Результаты_Класс!AJ46*100,"")</f>
        <v>64</v>
      </c>
      <c r="F41" s="371">
        <f>IF(AND(OR($C41&lt;&gt;"",$D41&lt;&gt;""),$A41=1,Результаты_Класс!$AJ$6="ДА"),Результаты_Класс!AL46,"")</f>
        <v>54.54545454545454</v>
      </c>
      <c r="G41" s="386">
        <f>IF(AND(OR($C41&lt;&gt;"",$D41&lt;&gt;""),$A41=1,Результаты_Класс!$AJ$6="ДА"),$G$14-F41,"")</f>
        <v>45.45454545454546</v>
      </c>
      <c r="H41" s="371">
        <f>IF(AND(OR($C41&lt;&gt;"",$D41&lt;&gt;""),$A41=1,Результаты_Класс!$AJ$6="ДА"),Результаты_Класс!AN46,"")</f>
        <v>71.428571428571431</v>
      </c>
      <c r="I41" s="364">
        <f>IF(AND(OR($C41&lt;&gt;"",$D41&lt;&gt;""),$A41=1,Результаты_Класс!$AJ$6="ДА"),$I$14-H41,"")</f>
        <v>28.571428571428569</v>
      </c>
      <c r="J41" s="6">
        <v>100</v>
      </c>
      <c r="K41" s="384" t="str">
        <f>IF(AND(OR($C41&lt;&gt;"",$D41&lt;&gt;""),$A41=1,Результаты_Класс!$AJ$6="ДА"),Результаты_Класс!AO46,"")</f>
        <v>БАЗОВЫЙ</v>
      </c>
    </row>
    <row r="42" spans="1:11" ht="12.75" customHeight="1">
      <c r="A42" s="12">
        <f>IF('СПИСОК КЛАССА'!J47&gt;0,1,0)</f>
        <v>1</v>
      </c>
      <c r="B42" s="368">
        <v>28</v>
      </c>
      <c r="C42" s="388">
        <f>IF(NOT(ISBLANK('СПИСОК КЛАССА'!C47)),'СПИСОК КЛАССА'!C47,"")</f>
        <v>28</v>
      </c>
      <c r="D42" s="388" t="str">
        <f>IF(NOT(ISBLANK('СПИСОК КЛАССА'!D47)),IF($A42=1,'СПИСОК КЛАССА'!D47, "УЧЕНИК НЕ ВЫПОЛНЯЛ РАБОТУ"),"")</f>
        <v>СЕМЕНОВ ГРИГОРИЙ</v>
      </c>
      <c r="E42" s="362">
        <f>IF(AND(OR($C42&lt;&gt;"",$D42&lt;&gt;""),$A42=1,Результаты_Класс!$AJ$6="ДА"),Результаты_Класс!AJ47*100,"")</f>
        <v>84</v>
      </c>
      <c r="F42" s="371">
        <f>IF(AND(OR($C42&lt;&gt;"",$D42&lt;&gt;""),$A42=1,Результаты_Класс!$AJ$6="ДА"),Результаты_Класс!AL47,"")</f>
        <v>100</v>
      </c>
      <c r="G42" s="386">
        <f>IF(AND(OR($C42&lt;&gt;"",$D42&lt;&gt;""),$A42=1,Результаты_Класс!$AJ$6="ДА"),$G$14-F42,"")</f>
        <v>0</v>
      </c>
      <c r="H42" s="371">
        <f>IF(AND(OR($C42&lt;&gt;"",$D42&lt;&gt;""),$A42=1,Результаты_Класс!$AJ$6="ДА"),Результаты_Класс!AN47,"")</f>
        <v>71.428571428571431</v>
      </c>
      <c r="I42" s="364">
        <f>IF(AND(OR($C42&lt;&gt;"",$D42&lt;&gt;""),$A42=1,Результаты_Класс!$AJ$6="ДА"),$I$14-H42,"")</f>
        <v>28.571428571428569</v>
      </c>
      <c r="J42" s="6">
        <v>100</v>
      </c>
      <c r="K42" s="384" t="str">
        <f>IF(AND(OR($C42&lt;&gt;"",$D42&lt;&gt;""),$A42=1,Результаты_Класс!$AJ$6="ДА"),Результаты_Класс!AO47,"")</f>
        <v>ВЫСОКИЙ</v>
      </c>
    </row>
    <row r="43" spans="1:11" ht="12.75" customHeight="1">
      <c r="A43" s="12">
        <f>IF('СПИСОК КЛАССА'!J48&gt;0,1,0)</f>
        <v>1</v>
      </c>
      <c r="B43" s="368">
        <v>29</v>
      </c>
      <c r="C43" s="388">
        <f>IF(NOT(ISBLANK('СПИСОК КЛАССА'!C48)),'СПИСОК КЛАССА'!C48,"")</f>
        <v>29</v>
      </c>
      <c r="D43" s="388" t="str">
        <f>IF(NOT(ISBLANK('СПИСОК КЛАССА'!D48)),IF($A43=1,'СПИСОК КЛАССА'!D48, "УЧЕНИК НЕ ВЫПОЛНЯЛ РАБОТУ"),"")</f>
        <v>СЕРГАЧ ЕГОР</v>
      </c>
      <c r="E43" s="362">
        <f>IF(AND(OR($C43&lt;&gt;"",$D43&lt;&gt;""),$A43=1,Результаты_Класс!$AJ$6="ДА"),Результаты_Класс!AJ48*100,"")</f>
        <v>84</v>
      </c>
      <c r="F43" s="371">
        <f>IF(AND(OR($C43&lt;&gt;"",$D43&lt;&gt;""),$A43=1,Результаты_Класс!$AJ$6="ДА"),Результаты_Класс!AL48,"")</f>
        <v>81.818181818181827</v>
      </c>
      <c r="G43" s="386">
        <f>IF(AND(OR($C43&lt;&gt;"",$D43&lt;&gt;""),$A43=1,Результаты_Класс!$AJ$6="ДА"),$G$14-F43,"")</f>
        <v>18.181818181818173</v>
      </c>
      <c r="H43" s="371">
        <f>IF(AND(OR($C43&lt;&gt;"",$D43&lt;&gt;""),$A43=1,Результаты_Класс!$AJ$6="ДА"),Результаты_Класс!AN48,"")</f>
        <v>85.714285714285708</v>
      </c>
      <c r="I43" s="364">
        <f>IF(AND(OR($C43&lt;&gt;"",$D43&lt;&gt;""),$A43=1,Результаты_Класс!$AJ$6="ДА"),$I$14-H43,"")</f>
        <v>14.285714285714292</v>
      </c>
      <c r="J43" s="6">
        <v>100</v>
      </c>
      <c r="K43" s="384" t="str">
        <f>IF(AND(OR($C43&lt;&gt;"",$D43&lt;&gt;""),$A43=1,Результаты_Класс!$AJ$6="ДА"),Результаты_Класс!AO48,"")</f>
        <v>ПОВЫШЕННЫЙ</v>
      </c>
    </row>
    <row r="44" spans="1:11" ht="12.75" customHeight="1">
      <c r="A44" s="12">
        <f>IF('СПИСОК КЛАССА'!J49&gt;0,1,0)</f>
        <v>0</v>
      </c>
      <c r="B44" s="368">
        <v>30</v>
      </c>
      <c r="C44" s="388" t="str">
        <f>IF(NOT(ISBLANK('СПИСОК КЛАССА'!C49)),'СПИСОК КЛАССА'!C49,"")</f>
        <v/>
      </c>
      <c r="D44" s="388" t="str">
        <f>IF(NOT(ISBLANK('СПИСОК КЛАССА'!D49)),IF($A44=1,'СПИСОК КЛАССА'!D49, "УЧЕНИК НЕ ВЫПОЛНЯЛ РАБОТУ"),"")</f>
        <v/>
      </c>
      <c r="E44" s="362" t="str">
        <f>IF(AND(OR($C44&lt;&gt;"",$D44&lt;&gt;""),$A44=1,Результаты_Класс!$AJ$6="ДА"),Результаты_Класс!AJ49*100,"")</f>
        <v/>
      </c>
      <c r="F44" s="371" t="str">
        <f>IF(AND(OR($C44&lt;&gt;"",$D44&lt;&gt;""),$A44=1,Результаты_Класс!$AJ$6="ДА"),Результаты_Класс!AL49,"")</f>
        <v/>
      </c>
      <c r="G44" s="386" t="str">
        <f>IF(AND(OR($C44&lt;&gt;"",$D44&lt;&gt;""),$A44=1,Результаты_Класс!$AJ$6="ДА"),$G$14-F44,"")</f>
        <v/>
      </c>
      <c r="H44" s="371" t="str">
        <f>IF(AND(OR($C44&lt;&gt;"",$D44&lt;&gt;""),$A44=1,Результаты_Класс!$AJ$6="ДА"),Результаты_Класс!AN49,"")</f>
        <v/>
      </c>
      <c r="I44" s="364" t="str">
        <f>IF(AND(OR($C44&lt;&gt;"",$D44&lt;&gt;""),$A44=1,Результаты_Класс!$AJ$6="ДА"),$I$14-H44,"")</f>
        <v/>
      </c>
      <c r="J44" s="6">
        <v>100</v>
      </c>
      <c r="K44" s="384" t="str">
        <f>IF(AND(OR($C44&lt;&gt;"",$D44&lt;&gt;""),$A44=1,Результаты_Класс!$AJ$6="ДА"),Результаты_Класс!AO49,"")</f>
        <v/>
      </c>
    </row>
    <row r="45" spans="1:11" ht="12.75" customHeight="1">
      <c r="A45" s="12">
        <f>IF('СПИСОК КЛАССА'!J50&gt;0,1,0)</f>
        <v>0</v>
      </c>
      <c r="B45" s="368">
        <v>31</v>
      </c>
      <c r="C45" s="388" t="str">
        <f>IF(NOT(ISBLANK('СПИСОК КЛАССА'!C50)),'СПИСОК КЛАССА'!C50,"")</f>
        <v/>
      </c>
      <c r="D45" s="388" t="str">
        <f>IF(NOT(ISBLANK('СПИСОК КЛАССА'!D50)),IF($A45=1,'СПИСОК КЛАССА'!D50, "УЧЕНИК НЕ ВЫПОЛНЯЛ РАБОТУ"),"")</f>
        <v/>
      </c>
      <c r="E45" s="362" t="str">
        <f>IF(AND(OR($C45&lt;&gt;"",$D45&lt;&gt;""),$A45=1,Результаты_Класс!$AJ$6="ДА"),Результаты_Класс!AJ50*100,"")</f>
        <v/>
      </c>
      <c r="F45" s="371" t="str">
        <f>IF(AND(OR($C45&lt;&gt;"",$D45&lt;&gt;""),$A45=1,Результаты_Класс!$AJ$6="ДА"),Результаты_Класс!AL50,"")</f>
        <v/>
      </c>
      <c r="G45" s="386" t="str">
        <f>IF(AND(OR($C45&lt;&gt;"",$D45&lt;&gt;""),$A45=1,Результаты_Класс!$AJ$6="ДА"),$G$14-F45,"")</f>
        <v/>
      </c>
      <c r="H45" s="371" t="str">
        <f>IF(AND(OR($C45&lt;&gt;"",$D45&lt;&gt;""),$A45=1,Результаты_Класс!$AJ$6="ДА"),Результаты_Класс!AN50,"")</f>
        <v/>
      </c>
      <c r="I45" s="364" t="str">
        <f>IF(AND(OR($C45&lt;&gt;"",$D45&lt;&gt;""),$A45=1,Результаты_Класс!$AJ$6="ДА"),$I$14-H45,"")</f>
        <v/>
      </c>
      <c r="J45" s="6">
        <v>100</v>
      </c>
      <c r="K45" s="384" t="str">
        <f>IF(AND(OR($C45&lt;&gt;"",$D45&lt;&gt;""),$A45=1,Результаты_Класс!$AJ$6="ДА"),Результаты_Класс!AO50,"")</f>
        <v/>
      </c>
    </row>
    <row r="46" spans="1:11" ht="12.75" customHeight="1">
      <c r="A46" s="12">
        <f>IF('СПИСОК КЛАССА'!J51&gt;0,1,0)</f>
        <v>0</v>
      </c>
      <c r="B46" s="368">
        <v>32</v>
      </c>
      <c r="C46" s="388" t="str">
        <f>IF(NOT(ISBLANK('СПИСОК КЛАССА'!C51)),'СПИСОК КЛАССА'!C51,"")</f>
        <v/>
      </c>
      <c r="D46" s="388" t="str">
        <f>IF(NOT(ISBLANK('СПИСОК КЛАССА'!D51)),IF($A46=1,'СПИСОК КЛАССА'!D51, "УЧЕНИК НЕ ВЫПОЛНЯЛ РАБОТУ"),"")</f>
        <v/>
      </c>
      <c r="E46" s="362" t="str">
        <f>IF(AND(OR($C46&lt;&gt;"",$D46&lt;&gt;""),$A46=1,Результаты_Класс!$AJ$6="ДА"),Результаты_Класс!AJ51*100,"")</f>
        <v/>
      </c>
      <c r="F46" s="371" t="str">
        <f>IF(AND(OR($C46&lt;&gt;"",$D46&lt;&gt;""),$A46=1,Результаты_Класс!$AJ$6="ДА"),Результаты_Класс!AL51,"")</f>
        <v/>
      </c>
      <c r="G46" s="386" t="str">
        <f>IF(AND(OR($C46&lt;&gt;"",$D46&lt;&gt;""),$A46=1,Результаты_Класс!$AJ$6="ДА"),$G$14-F46,"")</f>
        <v/>
      </c>
      <c r="H46" s="371" t="str">
        <f>IF(AND(OR($C46&lt;&gt;"",$D46&lt;&gt;""),$A46=1,Результаты_Класс!$AJ$6="ДА"),Результаты_Класс!AN51,"")</f>
        <v/>
      </c>
      <c r="I46" s="364" t="str">
        <f>IF(AND(OR($C46&lt;&gt;"",$D46&lt;&gt;""),$A46=1,Результаты_Класс!$AJ$6="ДА"),$I$14-H46,"")</f>
        <v/>
      </c>
      <c r="J46" s="6">
        <v>100</v>
      </c>
      <c r="K46" s="384" t="str">
        <f>IF(AND(OR($C46&lt;&gt;"",$D46&lt;&gt;""),$A46=1,Результаты_Класс!$AJ$6="ДА"),Результаты_Класс!AO51,"")</f>
        <v/>
      </c>
    </row>
    <row r="47" spans="1:11" ht="12.75" customHeight="1">
      <c r="A47" s="12">
        <f>IF('СПИСОК КЛАССА'!J52&gt;0,1,0)</f>
        <v>0</v>
      </c>
      <c r="B47" s="368">
        <v>33</v>
      </c>
      <c r="C47" s="388" t="str">
        <f>IF(NOT(ISBLANK('СПИСОК КЛАССА'!C52)),'СПИСОК КЛАССА'!C52,"")</f>
        <v/>
      </c>
      <c r="D47" s="388" t="str">
        <f>IF(NOT(ISBLANK('СПИСОК КЛАССА'!D52)),IF($A47=1,'СПИСОК КЛАССА'!D52, "УЧЕНИК НЕ ВЫПОЛНЯЛ РАБОТУ"),"")</f>
        <v/>
      </c>
      <c r="E47" s="362" t="str">
        <f>IF(AND(OR($C47&lt;&gt;"",$D47&lt;&gt;""),$A47=1,Результаты_Класс!$AJ$6="ДА"),Результаты_Класс!AJ52*100,"")</f>
        <v/>
      </c>
      <c r="F47" s="371" t="str">
        <f>IF(AND(OR($C47&lt;&gt;"",$D47&lt;&gt;""),$A47=1,Результаты_Класс!$AJ$6="ДА"),Результаты_Класс!AL52,"")</f>
        <v/>
      </c>
      <c r="G47" s="386" t="str">
        <f>IF(AND(OR($C47&lt;&gt;"",$D47&lt;&gt;""),$A47=1,Результаты_Класс!$AJ$6="ДА"),$G$14-F47,"")</f>
        <v/>
      </c>
      <c r="H47" s="371" t="str">
        <f>IF(AND(OR($C47&lt;&gt;"",$D47&lt;&gt;""),$A47=1,Результаты_Класс!$AJ$6="ДА"),Результаты_Класс!AN52,"")</f>
        <v/>
      </c>
      <c r="I47" s="364" t="str">
        <f>IF(AND(OR($C47&lt;&gt;"",$D47&lt;&gt;""),$A47=1,Результаты_Класс!$AJ$6="ДА"),$I$14-H47,"")</f>
        <v/>
      </c>
      <c r="J47" s="6">
        <v>100</v>
      </c>
      <c r="K47" s="384" t="str">
        <f>IF(AND(OR($C47&lt;&gt;"",$D47&lt;&gt;""),$A47=1,Результаты_Класс!$AJ$6="ДА"),Результаты_Класс!AO52,"")</f>
        <v/>
      </c>
    </row>
    <row r="48" spans="1:11" ht="12.75" customHeight="1">
      <c r="A48" s="12">
        <f>IF('СПИСОК КЛАССА'!J53&gt;0,1,0)</f>
        <v>0</v>
      </c>
      <c r="B48" s="368">
        <v>34</v>
      </c>
      <c r="C48" s="388" t="str">
        <f>IF(NOT(ISBLANK('СПИСОК КЛАССА'!C53)),'СПИСОК КЛАССА'!C53,"")</f>
        <v/>
      </c>
      <c r="D48" s="388" t="str">
        <f>IF(NOT(ISBLANK('СПИСОК КЛАССА'!D53)),IF($A48=1,'СПИСОК КЛАССА'!D53, "УЧЕНИК НЕ ВЫПОЛНЯЛ РАБОТУ"),"")</f>
        <v/>
      </c>
      <c r="E48" s="362" t="str">
        <f>IF(AND(OR($C48&lt;&gt;"",$D48&lt;&gt;""),$A48=1,Результаты_Класс!$AJ$6="ДА"),Результаты_Класс!AJ53*100,"")</f>
        <v/>
      </c>
      <c r="F48" s="371" t="str">
        <f>IF(AND(OR($C48&lt;&gt;"",$D48&lt;&gt;""),$A48=1,Результаты_Класс!$AJ$6="ДА"),Результаты_Класс!AL53,"")</f>
        <v/>
      </c>
      <c r="G48" s="386" t="str">
        <f>IF(AND(OR($C48&lt;&gt;"",$D48&lt;&gt;""),$A48=1,Результаты_Класс!$AJ$6="ДА"),$G$14-F48,"")</f>
        <v/>
      </c>
      <c r="H48" s="371" t="str">
        <f>IF(AND(OR($C48&lt;&gt;"",$D48&lt;&gt;""),$A48=1,Результаты_Класс!$AJ$6="ДА"),Результаты_Класс!AN53,"")</f>
        <v/>
      </c>
      <c r="I48" s="364" t="str">
        <f>IF(AND(OR($C48&lt;&gt;"",$D48&lt;&gt;""),$A48=1,Результаты_Класс!$AJ$6="ДА"),$I$14-H48,"")</f>
        <v/>
      </c>
      <c r="J48" s="6">
        <v>100</v>
      </c>
      <c r="K48" s="384" t="str">
        <f>IF(AND(OR($C48&lt;&gt;"",$D48&lt;&gt;""),$A48=1,Результаты_Класс!$AJ$6="ДА"),Результаты_Класс!AO53,"")</f>
        <v/>
      </c>
    </row>
    <row r="49" spans="1:11" ht="12.75" customHeight="1">
      <c r="A49" s="12">
        <f>IF('СПИСОК КЛАССА'!J54&gt;0,1,0)</f>
        <v>0</v>
      </c>
      <c r="B49" s="368">
        <v>35</v>
      </c>
      <c r="C49" s="388" t="str">
        <f>IF(NOT(ISBLANK('СПИСОК КЛАССА'!C54)),'СПИСОК КЛАССА'!C54,"")</f>
        <v/>
      </c>
      <c r="D49" s="388" t="str">
        <f>IF(NOT(ISBLANK('СПИСОК КЛАССА'!D54)),IF($A49=1,'СПИСОК КЛАССА'!D54, "УЧЕНИК НЕ ВЫПОЛНЯЛ РАБОТУ"),"")</f>
        <v/>
      </c>
      <c r="E49" s="362" t="str">
        <f>IF(AND(OR($C49&lt;&gt;"",$D49&lt;&gt;""),$A49=1,Результаты_Класс!$AJ$6="ДА"),Результаты_Класс!AJ54*100,"")</f>
        <v/>
      </c>
      <c r="F49" s="371" t="str">
        <f>IF(AND(OR($C49&lt;&gt;"",$D49&lt;&gt;""),$A49=1,Результаты_Класс!$AJ$6="ДА"),Результаты_Класс!AL54,"")</f>
        <v/>
      </c>
      <c r="G49" s="386" t="str">
        <f>IF(AND(OR($C49&lt;&gt;"",$D49&lt;&gt;""),$A49=1,Результаты_Класс!$AJ$6="ДА"),$G$14-F49,"")</f>
        <v/>
      </c>
      <c r="H49" s="371" t="str">
        <f>IF(AND(OR($C49&lt;&gt;"",$D49&lt;&gt;""),$A49=1,Результаты_Класс!$AJ$6="ДА"),Результаты_Класс!AN54,"")</f>
        <v/>
      </c>
      <c r="I49" s="364" t="str">
        <f>IF(AND(OR($C49&lt;&gt;"",$D49&lt;&gt;""),$A49=1,Результаты_Класс!$AJ$6="ДА"),$I$14-H49,"")</f>
        <v/>
      </c>
      <c r="J49" s="6">
        <v>100</v>
      </c>
      <c r="K49" s="384" t="str">
        <f>IF(AND(OR($C49&lt;&gt;"",$D49&lt;&gt;""),$A49=1,Результаты_Класс!$AJ$6="ДА"),Результаты_Класс!AO54,"")</f>
        <v/>
      </c>
    </row>
    <row r="50" spans="1:11" ht="12.75" customHeight="1">
      <c r="A50" s="12">
        <f>IF('СПИСОК КЛАССА'!J55&gt;0,1,0)</f>
        <v>0</v>
      </c>
      <c r="B50" s="368">
        <v>36</v>
      </c>
      <c r="C50" s="388" t="str">
        <f>IF(NOT(ISBLANK('СПИСОК КЛАССА'!C55)),'СПИСОК КЛАССА'!C55,"")</f>
        <v/>
      </c>
      <c r="D50" s="388" t="str">
        <f>IF(NOT(ISBLANK('СПИСОК КЛАССА'!D55)),IF($A50=1,'СПИСОК КЛАССА'!D55, "УЧЕНИК НЕ ВЫПОЛНЯЛ РАБОТУ"),"")</f>
        <v/>
      </c>
      <c r="E50" s="362" t="str">
        <f>IF(AND(OR($C50&lt;&gt;"",$D50&lt;&gt;""),$A50=1,Результаты_Класс!$AJ$6="ДА"),Результаты_Класс!AJ55*100,"")</f>
        <v/>
      </c>
      <c r="F50" s="371" t="str">
        <f>IF(AND(OR($C50&lt;&gt;"",$D50&lt;&gt;""),$A50=1,Результаты_Класс!$AJ$6="ДА"),Результаты_Класс!AL55,"")</f>
        <v/>
      </c>
      <c r="G50" s="386" t="str">
        <f>IF(AND(OR($C50&lt;&gt;"",$D50&lt;&gt;""),$A50=1,Результаты_Класс!$AJ$6="ДА"),$G$14-F50,"")</f>
        <v/>
      </c>
      <c r="H50" s="371" t="str">
        <f>IF(AND(OR($C50&lt;&gt;"",$D50&lt;&gt;""),$A50=1,Результаты_Класс!$AJ$6="ДА"),Результаты_Класс!AN55,"")</f>
        <v/>
      </c>
      <c r="I50" s="364" t="str">
        <f>IF(AND(OR($C50&lt;&gt;"",$D50&lt;&gt;""),$A50=1,Результаты_Класс!$AJ$6="ДА"),$I$14-H50,"")</f>
        <v/>
      </c>
      <c r="J50" s="6">
        <v>100</v>
      </c>
      <c r="K50" s="384" t="str">
        <f>IF(AND(OR($C50&lt;&gt;"",$D50&lt;&gt;""),$A50=1,Результаты_Класс!$AJ$6="ДА"),Результаты_Класс!AO55,"")</f>
        <v/>
      </c>
    </row>
    <row r="51" spans="1:11" ht="12.75" customHeight="1">
      <c r="A51" s="12">
        <f>IF('СПИСОК КЛАССА'!J56&gt;0,1,0)</f>
        <v>0</v>
      </c>
      <c r="B51" s="368">
        <v>37</v>
      </c>
      <c r="C51" s="388" t="str">
        <f>IF(NOT(ISBLANK('СПИСОК КЛАССА'!C56)),'СПИСОК КЛАССА'!C56,"")</f>
        <v/>
      </c>
      <c r="D51" s="388" t="str">
        <f>IF(NOT(ISBLANK('СПИСОК КЛАССА'!D56)),IF($A51=1,'СПИСОК КЛАССА'!D56, "УЧЕНИК НЕ ВЫПОЛНЯЛ РАБОТУ"),"")</f>
        <v/>
      </c>
      <c r="E51" s="362" t="str">
        <f>IF(AND(OR($C51&lt;&gt;"",$D51&lt;&gt;""),$A51=1,Результаты_Класс!$AJ$6="ДА"),Результаты_Класс!AJ56*100,"")</f>
        <v/>
      </c>
      <c r="F51" s="371" t="str">
        <f>IF(AND(OR($C51&lt;&gt;"",$D51&lt;&gt;""),$A51=1,Результаты_Класс!$AJ$6="ДА"),Результаты_Класс!AL56,"")</f>
        <v/>
      </c>
      <c r="G51" s="386" t="str">
        <f>IF(AND(OR($C51&lt;&gt;"",$D51&lt;&gt;""),$A51=1,Результаты_Класс!$AJ$6="ДА"),$G$14-F51,"")</f>
        <v/>
      </c>
      <c r="H51" s="371" t="str">
        <f>IF(AND(OR($C51&lt;&gt;"",$D51&lt;&gt;""),$A51=1,Результаты_Класс!$AJ$6="ДА"),Результаты_Класс!AN56,"")</f>
        <v/>
      </c>
      <c r="I51" s="364" t="str">
        <f>IF(AND(OR($C51&lt;&gt;"",$D51&lt;&gt;""),$A51=1,Результаты_Класс!$AJ$6="ДА"),$I$14-H51,"")</f>
        <v/>
      </c>
      <c r="J51" s="6">
        <v>100</v>
      </c>
      <c r="K51" s="384" t="str">
        <f>IF(AND(OR($C51&lt;&gt;"",$D51&lt;&gt;""),$A51=1,Результаты_Класс!$AJ$6="ДА"),Результаты_Класс!AO56,"")</f>
        <v/>
      </c>
    </row>
    <row r="52" spans="1:11" ht="12.75" customHeight="1">
      <c r="A52" s="12">
        <f>IF('СПИСОК КЛАССА'!J57&gt;0,1,0)</f>
        <v>0</v>
      </c>
      <c r="B52" s="368">
        <v>38</v>
      </c>
      <c r="C52" s="388" t="str">
        <f>IF(NOT(ISBLANK('СПИСОК КЛАССА'!C57)),'СПИСОК КЛАССА'!C57,"")</f>
        <v/>
      </c>
      <c r="D52" s="388" t="str">
        <f>IF(NOT(ISBLANK('СПИСОК КЛАССА'!D57)),IF($A52=1,'СПИСОК КЛАССА'!D57, "УЧЕНИК НЕ ВЫПОЛНЯЛ РАБОТУ"),"")</f>
        <v/>
      </c>
      <c r="E52" s="362" t="str">
        <f>IF(AND(OR($C52&lt;&gt;"",$D52&lt;&gt;""),$A52=1,Результаты_Класс!$AJ$6="ДА"),Результаты_Класс!AJ57*100,"")</f>
        <v/>
      </c>
      <c r="F52" s="371" t="str">
        <f>IF(AND(OR($C52&lt;&gt;"",$D52&lt;&gt;""),$A52=1,Результаты_Класс!$AJ$6="ДА"),Результаты_Класс!AL57,"")</f>
        <v/>
      </c>
      <c r="G52" s="386" t="str">
        <f>IF(AND(OR($C52&lt;&gt;"",$D52&lt;&gt;""),$A52=1,Результаты_Класс!$AJ$6="ДА"),$G$14-F52,"")</f>
        <v/>
      </c>
      <c r="H52" s="371" t="str">
        <f>IF(AND(OR($C52&lt;&gt;"",$D52&lt;&gt;""),$A52=1,Результаты_Класс!$AJ$6="ДА"),Результаты_Класс!AN57,"")</f>
        <v/>
      </c>
      <c r="I52" s="364" t="str">
        <f>IF(AND(OR($C52&lt;&gt;"",$D52&lt;&gt;""),$A52=1,Результаты_Класс!$AJ$6="ДА"),$I$14-H52,"")</f>
        <v/>
      </c>
      <c r="J52" s="6">
        <v>100</v>
      </c>
      <c r="K52" s="384" t="str">
        <f>IF(AND(OR($C52&lt;&gt;"",$D52&lt;&gt;""),$A52=1,Результаты_Класс!$AJ$6="ДА"),Результаты_Класс!AO57,"")</f>
        <v/>
      </c>
    </row>
    <row r="53" spans="1:11" ht="12.75" customHeight="1">
      <c r="A53" s="12">
        <f>IF('СПИСОК КЛАССА'!J58&gt;0,1,0)</f>
        <v>0</v>
      </c>
      <c r="B53" s="368">
        <v>39</v>
      </c>
      <c r="C53" s="388" t="str">
        <f>IF(NOT(ISBLANK('СПИСОК КЛАССА'!C58)),'СПИСОК КЛАССА'!C58,"")</f>
        <v/>
      </c>
      <c r="D53" s="388" t="str">
        <f>IF(NOT(ISBLANK('СПИСОК КЛАССА'!D58)),IF($A53=1,'СПИСОК КЛАССА'!D58, "УЧЕНИК НЕ ВЫПОЛНЯЛ РАБОТУ"),"")</f>
        <v/>
      </c>
      <c r="E53" s="362" t="str">
        <f>IF(AND(OR($C53&lt;&gt;"",$D53&lt;&gt;""),$A53=1,Результаты_Класс!$AJ$6="ДА"),Результаты_Класс!AJ58*100,"")</f>
        <v/>
      </c>
      <c r="F53" s="371" t="str">
        <f>IF(AND(OR($C53&lt;&gt;"",$D53&lt;&gt;""),$A53=1,Результаты_Класс!$AJ$6="ДА"),Результаты_Класс!AL58,"")</f>
        <v/>
      </c>
      <c r="G53" s="386" t="str">
        <f>IF(AND(OR($C53&lt;&gt;"",$D53&lt;&gt;""),$A53=1,Результаты_Класс!$AJ$6="ДА"),$G$14-F53,"")</f>
        <v/>
      </c>
      <c r="H53" s="371" t="str">
        <f>IF(AND(OR($C53&lt;&gt;"",$D53&lt;&gt;""),$A53=1,Результаты_Класс!$AJ$6="ДА"),Результаты_Класс!AN58,"")</f>
        <v/>
      </c>
      <c r="I53" s="364" t="str">
        <f>IF(AND(OR($C53&lt;&gt;"",$D53&lt;&gt;""),$A53=1,Результаты_Класс!$AJ$6="ДА"),$I$14-H53,"")</f>
        <v/>
      </c>
      <c r="J53" s="6">
        <v>100</v>
      </c>
      <c r="K53" s="384" t="str">
        <f>IF(AND(OR($C53&lt;&gt;"",$D53&lt;&gt;""),$A53=1,Результаты_Класс!$AJ$6="ДА"),Результаты_Класс!AO58,"")</f>
        <v/>
      </c>
    </row>
    <row r="54" spans="1:11" ht="12.75" customHeight="1" thickBot="1">
      <c r="A54" s="126">
        <f>IF('СПИСОК КЛАССА'!J59&gt;0,1,0)</f>
        <v>0</v>
      </c>
      <c r="B54" s="369">
        <v>40</v>
      </c>
      <c r="C54" s="389" t="str">
        <f>IF(NOT(ISBLANK('СПИСОК КЛАССА'!C59)),'СПИСОК КЛАССА'!C59,"")</f>
        <v/>
      </c>
      <c r="D54" s="389" t="str">
        <f>IF(NOT(ISBLANK('СПИСОК КЛАССА'!D59)),IF($A54=1,'СПИСОК КЛАССА'!D59, "УЧЕНИК НЕ ВЫПОЛНЯЛ РАБОТУ"),"")</f>
        <v/>
      </c>
      <c r="E54" s="366" t="str">
        <f>IF(AND(OR($C54&lt;&gt;"",$D54&lt;&gt;""),$A54=1,Результаты_Класс!$AJ$6="ДА"),Результаты_Класс!AJ59*100,"")</f>
        <v/>
      </c>
      <c r="F54" s="376" t="str">
        <f>IF(AND(OR($C54&lt;&gt;"",$D54&lt;&gt;""),$A54=1,Результаты_Класс!$AJ$6="ДА"),Результаты_Класс!AL59,"")</f>
        <v/>
      </c>
      <c r="G54" s="387" t="str">
        <f>IF(AND(OR($C54&lt;&gt;"",$D54&lt;&gt;""),$A54=1,Результаты_Класс!$AJ$6="ДА"),$G$14-F54,"")</f>
        <v/>
      </c>
      <c r="H54" s="376" t="str">
        <f>IF(AND(OR($C54&lt;&gt;"",$D54&lt;&gt;""),$A54=1,Результаты_Класс!$AJ$6="ДА"),Результаты_Класс!AN59,"")</f>
        <v/>
      </c>
      <c r="I54" s="382" t="str">
        <f>IF(AND(OR($C54&lt;&gt;"",$D54&lt;&gt;""),$A54=1,Результаты_Класс!$AJ$6="ДА"),$I$14-H54,"")</f>
        <v/>
      </c>
      <c r="J54" s="6">
        <v>100</v>
      </c>
      <c r="K54" s="385" t="str">
        <f>IF(AND(OR($C54&lt;&gt;"",$D54&lt;&gt;""),$A54=1,Результаты_Класс!$AJ$6="ДА"),Результаты_Класс!AO59,"")</f>
        <v/>
      </c>
    </row>
    <row r="55" spans="1:11" ht="47.25" customHeight="1" thickBot="1">
      <c r="A55" s="6"/>
      <c r="B55" s="6"/>
      <c r="C55" s="641" t="s">
        <v>277</v>
      </c>
      <c r="D55" s="642"/>
      <c r="E55" s="377">
        <f>IF(AND(OR($C15&lt;&gt;"",$D15&lt;&gt;""),$A15=1,Результаты_Класс!$AJ$6="ДА"),Результаты_Класс!AJ19*100,"")</f>
        <v>68.275862068965523</v>
      </c>
      <c r="F55" s="377">
        <f>IF(AND(OR($C15&lt;&gt;"",$D15&lt;&gt;""),$A15=1,Результаты_Класс!$AJ$6="ДА"),Результаты_Класс!AL19,"")</f>
        <v>69.905956112852664</v>
      </c>
      <c r="G55" s="377"/>
      <c r="H55" s="377">
        <f>IF(AND(OR($C15&lt;&gt;"",$D15&lt;&gt;""),$A15=1,Результаты_Класс!$AJ$6="ДА"),Результаты_Класс!AN19,"")</f>
        <v>66.995073891625609</v>
      </c>
      <c r="I55" s="383"/>
      <c r="J55" s="383"/>
      <c r="K55" s="378">
        <f>IF(AND(OR($C15&lt;&gt;"",$D15&lt;&gt;""),$A15=1,Результаты_Класс!$AJ$6="ДА"),Уровни!F8*100,"")</f>
        <v>31.03448275862069</v>
      </c>
    </row>
    <row r="56" spans="1:1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1:1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1:1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1:1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 spans="1:1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 spans="1:1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 spans="1:1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 spans="1:1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 spans="1:1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 spans="1:1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 spans="1:1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 spans="1:1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 spans="1:1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 spans="1:1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 spans="1:1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 spans="1:1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 spans="1:1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 spans="1:1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 spans="1:1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 spans="1:1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 spans="1:1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 spans="1:1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 spans="1:1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 spans="1:1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 spans="1:1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 spans="1:1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 spans="1:1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 spans="1:1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 spans="1:1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 spans="1:1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 spans="1:1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 spans="1:1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 spans="1:1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 spans="1:1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 spans="1:1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</sheetData>
  <sheetProtection password="C62D" sheet="1" objects="1" scenarios="1" selectLockedCells="1" selectUnlockedCells="1"/>
  <mergeCells count="12">
    <mergeCell ref="K4:K6"/>
    <mergeCell ref="C1:K1"/>
    <mergeCell ref="F4:F6"/>
    <mergeCell ref="G4:G6"/>
    <mergeCell ref="H4:H6"/>
    <mergeCell ref="I4:I6"/>
    <mergeCell ref="D2:F2"/>
    <mergeCell ref="B4:B6"/>
    <mergeCell ref="C4:C6"/>
    <mergeCell ref="D4:D6"/>
    <mergeCell ref="E4:E6"/>
    <mergeCell ref="C55:D55"/>
  </mergeCells>
  <pageMargins left="0.25" right="0.25" top="0.75" bottom="0.75" header="0.3" footer="0.3"/>
  <pageSetup paperSize="9" fitToWidth="0" fitToHeight="0" orientation="landscape" r:id="rId1"/>
  <headerFooter alignWithMargins="0">
    <oddHeader>&amp;CКГБУ "Региональный центр оценки качества образования"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</vt:i4>
      </vt:variant>
    </vt:vector>
  </HeadingPairs>
  <TitlesOfParts>
    <vt:vector size="20" baseType="lpstr">
      <vt:lpstr>СПИСОК КЛАССА</vt:lpstr>
      <vt:lpstr>ПРОТОКОЛ</vt:lpstr>
      <vt:lpstr>Анкета учителя</vt:lpstr>
      <vt:lpstr>Ответы учащихся</vt:lpstr>
      <vt:lpstr>Результаты_Класс</vt:lpstr>
      <vt:lpstr>Д-класс</vt:lpstr>
      <vt:lpstr>План</vt:lpstr>
      <vt:lpstr>Уровни</vt:lpstr>
      <vt:lpstr>Ученик</vt:lpstr>
      <vt:lpstr>Диаграмма_Ученик</vt:lpstr>
      <vt:lpstr>Коридор</vt:lpstr>
      <vt:lpstr>Базовый_Уч</vt:lpstr>
      <vt:lpstr>Базовый_З</vt:lpstr>
      <vt:lpstr>Повыш_Уч</vt:lpstr>
      <vt:lpstr>Пов_З</vt:lpstr>
      <vt:lpstr>КИМ_1</vt:lpstr>
      <vt:lpstr>Лист1</vt:lpstr>
      <vt:lpstr>План!Заголовки_для_печати</vt:lpstr>
      <vt:lpstr>'Ответы учащихся'!Область_печати</vt:lpstr>
      <vt:lpstr>Результаты_Класс!Область_печати</vt:lpstr>
    </vt:vector>
  </TitlesOfParts>
  <Company>Unknown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Наталья</cp:lastModifiedBy>
  <cp:lastPrinted>2013-10-01T12:25:27Z</cp:lastPrinted>
  <dcterms:created xsi:type="dcterms:W3CDTF">2007-09-13T11:07:26Z</dcterms:created>
  <dcterms:modified xsi:type="dcterms:W3CDTF">2013-10-12T07:21:37Z</dcterms:modified>
</cp:coreProperties>
</file>